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айда Денис Миколайович\3х2 Будівельні конструкції\Курсовий проект\Курсова\"/>
    </mc:Choice>
  </mc:AlternateContent>
  <xr:revisionPtr revIDLastSave="0" documentId="13_ncr:1_{9545FAF2-D1CE-41FC-B719-3BBE25F875C0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Розрахунок елементів ферм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" i="4" l="1"/>
  <c r="AD26" i="4"/>
  <c r="AD25" i="4"/>
  <c r="AD18" i="4"/>
  <c r="AD17" i="4"/>
  <c r="AD16" i="4"/>
  <c r="AE30" i="4" l="1"/>
  <c r="AE31" i="4"/>
  <c r="AE32" i="4"/>
  <c r="AE29" i="4"/>
  <c r="AE26" i="4"/>
  <c r="AE27" i="4"/>
  <c r="AE25" i="4"/>
  <c r="AE21" i="4"/>
  <c r="AE22" i="4"/>
  <c r="AE23" i="4"/>
  <c r="AE20" i="4"/>
  <c r="AD30" i="4"/>
  <c r="AD31" i="4"/>
  <c r="AD32" i="4"/>
  <c r="AD29" i="4"/>
  <c r="AD21" i="4"/>
  <c r="AD22" i="4"/>
  <c r="AD23" i="4"/>
  <c r="AD20" i="4"/>
  <c r="AC30" i="4" l="1"/>
  <c r="AH30" i="4"/>
  <c r="AC31" i="4"/>
  <c r="AH31" i="4"/>
  <c r="AK31" i="4"/>
  <c r="AC32" i="4"/>
  <c r="AH32" i="4"/>
  <c r="AK32" i="4"/>
  <c r="AH29" i="4"/>
  <c r="AK29" i="4"/>
  <c r="AC29" i="4"/>
  <c r="AC26" i="4"/>
  <c r="AH26" i="4"/>
  <c r="AK26" i="4"/>
  <c r="AC27" i="4"/>
  <c r="AH27" i="4"/>
  <c r="AK27" i="4"/>
  <c r="AH25" i="4"/>
  <c r="AK25" i="4"/>
  <c r="AC25" i="4"/>
  <c r="AC21" i="4"/>
  <c r="AH21" i="4"/>
  <c r="AK21" i="4"/>
  <c r="AC22" i="4"/>
  <c r="AH22" i="4"/>
  <c r="AK22" i="4"/>
  <c r="AC23" i="4"/>
  <c r="AH23" i="4"/>
  <c r="AK23" i="4"/>
  <c r="AK17" i="4"/>
  <c r="AE17" i="4"/>
  <c r="AH18" i="4"/>
  <c r="AE18" i="4"/>
  <c r="AC20" i="4"/>
  <c r="AC17" i="4"/>
  <c r="AC18" i="4"/>
  <c r="AC16" i="4"/>
  <c r="AC13" i="4"/>
  <c r="AC14" i="4"/>
  <c r="AC15" i="4"/>
  <c r="AE16" i="4"/>
  <c r="S22" i="4"/>
  <c r="O22" i="4"/>
  <c r="Q22" i="4" s="1"/>
  <c r="N22" i="4"/>
  <c r="P22" i="4" s="1"/>
  <c r="S23" i="4"/>
  <c r="O23" i="4"/>
  <c r="Q23" i="4" s="1"/>
  <c r="N23" i="4"/>
  <c r="P23" i="4" s="1"/>
  <c r="S21" i="4"/>
  <c r="O21" i="4"/>
  <c r="Q21" i="4" s="1"/>
  <c r="N21" i="4"/>
  <c r="P21" i="4" s="1"/>
  <c r="AH17" i="4" l="1"/>
  <c r="AK30" i="4"/>
  <c r="AK18" i="4"/>
  <c r="Z23" i="4"/>
  <c r="Z22" i="4"/>
  <c r="Z21" i="4"/>
  <c r="AF2" i="4"/>
  <c r="AG2" i="4" s="1"/>
  <c r="AM27" i="4" s="1"/>
  <c r="AE13" i="4"/>
  <c r="AE14" i="4"/>
  <c r="AE12" i="4"/>
  <c r="AH20" i="4"/>
  <c r="AD13" i="4"/>
  <c r="AH13" i="4" s="1"/>
  <c r="AD14" i="4"/>
  <c r="AH14" i="4" s="1"/>
  <c r="AH16" i="4"/>
  <c r="AD12" i="4"/>
  <c r="AK12" i="4" s="1"/>
  <c r="AC11" i="4"/>
  <c r="AC12" i="4"/>
  <c r="AJ32" i="4" l="1"/>
  <c r="AM23" i="4"/>
  <c r="AJ27" i="4"/>
  <c r="AM32" i="4"/>
  <c r="AJ30" i="4"/>
  <c r="AM29" i="4"/>
  <c r="AM30" i="4"/>
  <c r="AJ21" i="4"/>
  <c r="AM25" i="4"/>
  <c r="AJ29" i="4"/>
  <c r="AM26" i="4"/>
  <c r="AM31" i="4"/>
  <c r="AM21" i="4"/>
  <c r="AJ25" i="4"/>
  <c r="AJ31" i="4"/>
  <c r="AJ22" i="4"/>
  <c r="AM22" i="4"/>
  <c r="AJ26" i="4"/>
  <c r="AJ23" i="4"/>
  <c r="AJ17" i="4"/>
  <c r="AM17" i="4"/>
  <c r="AM18" i="4"/>
  <c r="AJ18" i="4"/>
  <c r="AK16" i="4"/>
  <c r="AM16" i="4" s="1"/>
  <c r="AJ16" i="4"/>
  <c r="AJ20" i="4"/>
  <c r="AJ14" i="4"/>
  <c r="AM12" i="4"/>
  <c r="AJ13" i="4"/>
  <c r="AH2" i="4"/>
  <c r="AH12" i="4"/>
  <c r="AJ12" i="4" s="1"/>
  <c r="AK20" i="4"/>
  <c r="AM20" i="4" s="1"/>
  <c r="AK14" i="4"/>
  <c r="AM14" i="4" s="1"/>
  <c r="AK13" i="4"/>
  <c r="AM13" i="4" s="1"/>
  <c r="S18" i="4"/>
  <c r="S26" i="4"/>
  <c r="S27" i="4"/>
  <c r="S31" i="4"/>
  <c r="S32" i="4"/>
  <c r="S30" i="4"/>
  <c r="S29" i="4"/>
  <c r="S25" i="4"/>
  <c r="S20" i="4"/>
  <c r="S17" i="4"/>
  <c r="S16" i="4"/>
  <c r="S13" i="4"/>
  <c r="S14" i="4"/>
  <c r="S12" i="4"/>
  <c r="O32" i="4"/>
  <c r="Q32" i="4" s="1"/>
  <c r="N32" i="4"/>
  <c r="P32" i="4" s="1"/>
  <c r="O31" i="4"/>
  <c r="Q31" i="4" s="1"/>
  <c r="N31" i="4"/>
  <c r="P31" i="4" s="1"/>
  <c r="O30" i="4"/>
  <c r="Q30" i="4" s="1"/>
  <c r="N30" i="4"/>
  <c r="P30" i="4" s="1"/>
  <c r="O29" i="4"/>
  <c r="Q29" i="4" s="1"/>
  <c r="N29" i="4"/>
  <c r="P29" i="4" s="1"/>
  <c r="N26" i="4"/>
  <c r="P26" i="4" s="1"/>
  <c r="O26" i="4"/>
  <c r="Q26" i="4" s="1"/>
  <c r="N27" i="4"/>
  <c r="P27" i="4" s="1"/>
  <c r="O27" i="4"/>
  <c r="Q27" i="4" s="1"/>
  <c r="O25" i="4"/>
  <c r="Q25" i="4" s="1"/>
  <c r="N25" i="4"/>
  <c r="P25" i="4" s="1"/>
  <c r="Z26" i="4" l="1"/>
  <c r="Z32" i="4"/>
  <c r="Z31" i="4"/>
  <c r="Z27" i="4"/>
  <c r="Z30" i="4"/>
  <c r="Z25" i="4"/>
  <c r="Z29" i="4"/>
  <c r="O20" i="4" l="1"/>
  <c r="Q20" i="4" s="1"/>
  <c r="N20" i="4"/>
  <c r="P20" i="4" s="1"/>
  <c r="N17" i="4"/>
  <c r="P17" i="4" s="1"/>
  <c r="O17" i="4"/>
  <c r="Q17" i="4" s="1"/>
  <c r="N18" i="4"/>
  <c r="P18" i="4" s="1"/>
  <c r="O18" i="4"/>
  <c r="Q18" i="4" s="1"/>
  <c r="O16" i="4"/>
  <c r="Q16" i="4" s="1"/>
  <c r="N16" i="4"/>
  <c r="P16" i="4" s="1"/>
  <c r="N13" i="4"/>
  <c r="O13" i="4"/>
  <c r="Q13" i="4" s="1"/>
  <c r="N14" i="4"/>
  <c r="O14" i="4"/>
  <c r="Q14" i="4" s="1"/>
  <c r="H2" i="4"/>
  <c r="O12" i="4"/>
  <c r="Q12" i="4" s="1"/>
  <c r="N12" i="4"/>
  <c r="P12" i="4" s="1"/>
  <c r="X22" i="4" l="1"/>
  <c r="X23" i="4"/>
  <c r="X21" i="4"/>
  <c r="R21" i="4"/>
  <c r="T21" i="4" s="1"/>
  <c r="U21" i="4" s="1"/>
  <c r="W21" i="4" s="1"/>
  <c r="Y21" i="4" s="1"/>
  <c r="R22" i="4"/>
  <c r="T22" i="4" s="1"/>
  <c r="U22" i="4" s="1"/>
  <c r="W22" i="4" s="1"/>
  <c r="Y22" i="4" s="1"/>
  <c r="R23" i="4"/>
  <c r="T23" i="4" s="1"/>
  <c r="U23" i="4" s="1"/>
  <c r="W23" i="4" s="1"/>
  <c r="Y23" i="4" s="1"/>
  <c r="Z12" i="4"/>
  <c r="Z20" i="4"/>
  <c r="Z17" i="4"/>
  <c r="R20" i="4"/>
  <c r="T20" i="4" s="1"/>
  <c r="Z18" i="4"/>
  <c r="X13" i="4"/>
  <c r="X31" i="4"/>
  <c r="X30" i="4"/>
  <c r="X26" i="4"/>
  <c r="X29" i="4"/>
  <c r="X25" i="4"/>
  <c r="X32" i="4"/>
  <c r="X27" i="4"/>
  <c r="R26" i="4"/>
  <c r="R32" i="4"/>
  <c r="T32" i="4" s="1"/>
  <c r="U32" i="4" s="1"/>
  <c r="W32" i="4" s="1"/>
  <c r="R29" i="4"/>
  <c r="T29" i="4" s="1"/>
  <c r="U29" i="4" s="1"/>
  <c r="W29" i="4" s="1"/>
  <c r="R25" i="4"/>
  <c r="T25" i="4" s="1"/>
  <c r="U25" i="4" s="1"/>
  <c r="W25" i="4" s="1"/>
  <c r="R30" i="4"/>
  <c r="T30" i="4" s="1"/>
  <c r="U30" i="4" s="1"/>
  <c r="W30" i="4" s="1"/>
  <c r="R31" i="4"/>
  <c r="T31" i="4" s="1"/>
  <c r="U31" i="4" s="1"/>
  <c r="W31" i="4" s="1"/>
  <c r="R27" i="4"/>
  <c r="Z16" i="4"/>
  <c r="R12" i="4"/>
  <c r="T12" i="4" s="1"/>
  <c r="U12" i="4" s="1"/>
  <c r="W12" i="4" s="1"/>
  <c r="R17" i="4"/>
  <c r="T17" i="4" s="1"/>
  <c r="U17" i="4" s="1"/>
  <c r="W17" i="4" s="1"/>
  <c r="X17" i="4"/>
  <c r="X14" i="4"/>
  <c r="X20" i="4"/>
  <c r="X16" i="4"/>
  <c r="X18" i="4"/>
  <c r="R18" i="4"/>
  <c r="T18" i="4" s="1"/>
  <c r="U18" i="4" s="1"/>
  <c r="W18" i="4" s="1"/>
  <c r="R16" i="4"/>
  <c r="X12" i="4"/>
  <c r="Y25" i="4" l="1"/>
  <c r="T27" i="4"/>
  <c r="U27" i="4" s="1"/>
  <c r="W27" i="4" s="1"/>
  <c r="Y27" i="4" s="1"/>
  <c r="T26" i="4"/>
  <c r="U26" i="4" s="1"/>
  <c r="W26" i="4" s="1"/>
  <c r="Y26" i="4" s="1"/>
  <c r="Y17" i="4"/>
  <c r="Y18" i="4"/>
  <c r="Y29" i="4"/>
  <c r="Y31" i="4"/>
  <c r="Y12" i="4"/>
  <c r="Y30" i="4"/>
  <c r="Y32" i="4"/>
  <c r="U20" i="4"/>
  <c r="W20" i="4" s="1"/>
  <c r="Y20" i="4" s="1"/>
  <c r="T16" i="4"/>
  <c r="U16" i="4" s="1"/>
  <c r="R70" i="4"/>
  <c r="K85" i="4" s="1"/>
  <c r="R71" i="4"/>
  <c r="K86" i="4" s="1"/>
  <c r="R72" i="4"/>
  <c r="K87" i="4" s="1"/>
  <c r="R73" i="4"/>
  <c r="K88" i="4" s="1"/>
  <c r="R74" i="4"/>
  <c r="K89" i="4" s="1"/>
  <c r="R75" i="4"/>
  <c r="K90" i="4" s="1"/>
  <c r="R76" i="4"/>
  <c r="K91" i="4" s="1"/>
  <c r="R69" i="4"/>
  <c r="K84" i="4" s="1"/>
  <c r="W16" i="4" l="1"/>
  <c r="Y16" i="4" s="1"/>
  <c r="J91" i="4" l="1"/>
  <c r="N91" i="4" s="1"/>
  <c r="J90" i="4"/>
  <c r="N90" i="4" s="1"/>
  <c r="J89" i="4"/>
  <c r="N89" i="4" s="1"/>
  <c r="J88" i="4"/>
  <c r="N88" i="4" s="1"/>
  <c r="J87" i="4"/>
  <c r="N87" i="4" s="1"/>
  <c r="J86" i="4"/>
  <c r="N86" i="4" s="1"/>
  <c r="J85" i="4"/>
  <c r="N85" i="4" s="1"/>
  <c r="J84" i="4"/>
  <c r="N84" i="4" s="1"/>
  <c r="J76" i="4"/>
  <c r="G76" i="4"/>
  <c r="J75" i="4"/>
  <c r="G75" i="4"/>
  <c r="J74" i="4"/>
  <c r="G74" i="4"/>
  <c r="J73" i="4"/>
  <c r="G73" i="4"/>
  <c r="J72" i="4"/>
  <c r="G72" i="4"/>
  <c r="J71" i="4"/>
  <c r="G71" i="4"/>
  <c r="J70" i="4"/>
  <c r="G70" i="4"/>
  <c r="J69" i="4"/>
  <c r="G69" i="4"/>
  <c r="E63" i="4"/>
  <c r="I63" i="4" s="1"/>
  <c r="K63" i="4" s="1"/>
  <c r="J58" i="4"/>
  <c r="G58" i="4"/>
  <c r="J57" i="4"/>
  <c r="G57" i="4"/>
  <c r="J56" i="4"/>
  <c r="G56" i="4"/>
  <c r="J55" i="4"/>
  <c r="G55" i="4"/>
  <c r="J54" i="4"/>
  <c r="G54" i="4"/>
  <c r="J53" i="4"/>
  <c r="G53" i="4"/>
  <c r="P14" i="4"/>
  <c r="Z14" i="4" s="1"/>
  <c r="P13" i="4"/>
  <c r="Z13" i="4" s="1"/>
  <c r="R13" i="4" l="1"/>
  <c r="R14" i="4"/>
  <c r="F57" i="4"/>
  <c r="N57" i="4" s="1"/>
  <c r="R57" i="4" s="1"/>
  <c r="F72" i="4"/>
  <c r="P72" i="4" s="1"/>
  <c r="F53" i="4"/>
  <c r="N53" i="4" s="1"/>
  <c r="R53" i="4" s="1"/>
  <c r="F55" i="4"/>
  <c r="N55" i="4" s="1"/>
  <c r="R55" i="4" s="1"/>
  <c r="F54" i="4"/>
  <c r="N54" i="4" s="1"/>
  <c r="R54" i="4" s="1"/>
  <c r="F71" i="4"/>
  <c r="P71" i="4" s="1"/>
  <c r="F74" i="4"/>
  <c r="P74" i="4" s="1"/>
  <c r="F56" i="4"/>
  <c r="N56" i="4" s="1"/>
  <c r="R56" i="4" s="1"/>
  <c r="F58" i="4"/>
  <c r="N58" i="4" s="1"/>
  <c r="R58" i="4" s="1"/>
  <c r="F73" i="4"/>
  <c r="P73" i="4" s="1"/>
  <c r="F69" i="4"/>
  <c r="P69" i="4" s="1"/>
  <c r="F70" i="4"/>
  <c r="P70" i="4" s="1"/>
  <c r="F75" i="4"/>
  <c r="P75" i="4" s="1"/>
  <c r="F76" i="4"/>
  <c r="P76" i="4" s="1"/>
  <c r="T13" i="4" l="1"/>
  <c r="T14" i="4"/>
  <c r="U13" i="4" l="1"/>
  <c r="W13" i="4" s="1"/>
  <c r="U14" i="4"/>
  <c r="W14" i="4" s="1"/>
  <c r="Y13" i="4" l="1"/>
  <c r="Y14" i="4"/>
</calcChain>
</file>

<file path=xl/sharedStrings.xml><?xml version="1.0" encoding="utf-8"?>
<sst xmlns="http://schemas.openxmlformats.org/spreadsheetml/2006/main" count="221" uniqueCount="132">
  <si>
    <t>№</t>
  </si>
  <si>
    <t>Nст. (кН)</t>
  </si>
  <si>
    <t>Nр. (кН)</t>
  </si>
  <si>
    <t>Переріз</t>
  </si>
  <si>
    <t>Тип кривої стійкості</t>
  </si>
  <si>
    <t>[λ]</t>
  </si>
  <si>
    <t>ϕ</t>
  </si>
  <si>
    <t>ϒс</t>
  </si>
  <si>
    <t>Ry* ϒс. (МПа)</t>
  </si>
  <si>
    <t>Таблиця перевірочного розрахунку болтів фланцевих з’єднань</t>
  </si>
  <si>
    <t>Найменування елементу</t>
  </si>
  <si>
    <t xml:space="preserve">Несуча здатність одноболтового з’єднання </t>
  </si>
  <si>
    <r>
      <t>N</t>
    </r>
    <r>
      <rPr>
        <vertAlign val="subscript"/>
        <sz val="11"/>
        <color theme="1"/>
        <rFont val="Times New Roman"/>
        <family val="1"/>
        <charset val="204"/>
      </rPr>
      <t>bt</t>
    </r>
    <r>
      <rPr>
        <sz val="11"/>
        <color theme="1"/>
        <rFont val="Times New Roman"/>
        <family val="1"/>
        <charset val="204"/>
      </rPr>
      <t>, кН</t>
    </r>
  </si>
  <si>
    <r>
      <t>Площа перерізу болта A</t>
    </r>
    <r>
      <rPr>
        <vertAlign val="subscript"/>
        <sz val="11"/>
        <color theme="1"/>
        <rFont val="Times New Roman"/>
        <family val="1"/>
        <charset val="204"/>
      </rPr>
      <t>bn</t>
    </r>
    <r>
      <rPr>
        <sz val="11"/>
        <color theme="1"/>
        <rFont val="Times New Roman"/>
        <family val="1"/>
        <charset val="204"/>
      </rPr>
      <t>, см</t>
    </r>
    <r>
      <rPr>
        <vertAlign val="superscript"/>
        <sz val="11"/>
        <color theme="1"/>
        <rFont val="Times New Roman"/>
        <family val="1"/>
        <charset val="204"/>
      </rPr>
      <t>2</t>
    </r>
  </si>
  <si>
    <t xml:space="preserve">Кі-ть болтів у з’єднанні,шт </t>
  </si>
  <si>
    <t>Клас міцності болтів</t>
  </si>
  <si>
    <r>
      <t>Розрахунковий опір болтів R</t>
    </r>
    <r>
      <rPr>
        <vertAlign val="subscript"/>
        <sz val="11"/>
        <color theme="1"/>
        <rFont val="Times New Roman"/>
        <family val="1"/>
        <charset val="204"/>
      </rPr>
      <t>bt</t>
    </r>
    <r>
      <rPr>
        <sz val="11"/>
        <color theme="1"/>
        <rFont val="Times New Roman"/>
        <family val="1"/>
        <charset val="204"/>
      </rPr>
      <t>, Н/мм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</si>
  <si>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γ</t>
    </r>
    <r>
      <rPr>
        <b/>
        <vertAlign val="subscript"/>
        <sz val="11"/>
        <color theme="1"/>
        <rFont val="Times New Roman"/>
        <family val="1"/>
        <charset val="204"/>
      </rPr>
      <t>b</t>
    </r>
  </si>
  <si>
    <t xml:space="preserve">Несуча здатність з’єднання </t>
  </si>
  <si>
    <r>
      <t>F</t>
    </r>
    <r>
      <rPr>
        <vertAlign val="subscript"/>
        <sz val="11"/>
        <color theme="1"/>
        <rFont val="Times New Roman"/>
        <family val="1"/>
        <charset val="204"/>
      </rPr>
      <t>bt</t>
    </r>
    <r>
      <rPr>
        <sz val="11"/>
        <color theme="1"/>
        <rFont val="Times New Roman"/>
        <family val="1"/>
        <charset val="204"/>
      </rPr>
      <t xml:space="preserve">, кН </t>
    </r>
  </si>
  <si>
    <t>Розрахункове зусилля в з’єднанні N, кН</t>
  </si>
  <si>
    <t>Процент використання, %</t>
  </si>
  <si>
    <t>Болт М20</t>
  </si>
  <si>
    <t>Болт М16</t>
  </si>
  <si>
    <t>δ</t>
  </si>
  <si>
    <r>
      <rPr>
        <b/>
        <sz val="11"/>
        <color rgb="FF000000"/>
        <rFont val="Times New Roman"/>
        <family val="1"/>
        <charset val="204"/>
      </rPr>
      <t>k</t>
    </r>
    <r>
      <rPr>
        <b/>
        <sz val="10"/>
        <color rgb="FF000000"/>
        <rFont val="Times New Roman"/>
        <family val="1"/>
        <charset val="204"/>
      </rPr>
      <t>гн</t>
    </r>
  </si>
  <si>
    <t>Таблиця перевірочного розрахунку болтів поясів вежі на зріз</t>
  </si>
  <si>
    <r>
      <t>N</t>
    </r>
    <r>
      <rPr>
        <vertAlign val="subscript"/>
        <sz val="11"/>
        <color theme="1"/>
        <rFont val="Times New Roman"/>
        <family val="1"/>
        <charset val="204"/>
      </rPr>
      <t>bs</t>
    </r>
    <r>
      <rPr>
        <sz val="11"/>
        <color theme="1"/>
        <rFont val="Times New Roman"/>
        <family val="1"/>
        <charset val="204"/>
      </rPr>
      <t>, кН</t>
    </r>
  </si>
  <si>
    <r>
      <t>Площа перерізу болта A</t>
    </r>
    <r>
      <rPr>
        <vertAlign val="subscript"/>
        <sz val="11"/>
        <color theme="1"/>
        <rFont val="Times New Roman"/>
        <family val="1"/>
        <charset val="204"/>
      </rPr>
      <t>b</t>
    </r>
    <r>
      <rPr>
        <sz val="11"/>
        <color theme="1"/>
        <rFont val="Times New Roman"/>
        <family val="1"/>
        <charset val="204"/>
      </rPr>
      <t>, см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</si>
  <si>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Розрахунковий опір болтів R</t>
    </r>
    <r>
      <rPr>
        <vertAlign val="subscript"/>
        <sz val="11"/>
        <color theme="1"/>
        <rFont val="Times New Roman"/>
        <family val="1"/>
        <charset val="204"/>
      </rPr>
      <t>bs</t>
    </r>
    <r>
      <rPr>
        <sz val="11"/>
        <color theme="1"/>
        <rFont val="Times New Roman"/>
        <family val="1"/>
        <charset val="204"/>
      </rPr>
      <t>, Н/мм</t>
    </r>
    <r>
      <rPr>
        <vertAlign val="superscript"/>
        <sz val="11"/>
        <color theme="1"/>
        <rFont val="Times New Roman"/>
        <family val="1"/>
        <charset val="204"/>
      </rPr>
      <t>2</t>
    </r>
  </si>
  <si>
    <t>Кі-ть зрізів одно болта</t>
  </si>
  <si>
    <t>Таблиця перевірочного розрахунку болтового з’єднання поясу вежі на зминання</t>
  </si>
  <si>
    <r>
      <t>Розрахунковий опір з’єднання R</t>
    </r>
    <r>
      <rPr>
        <vertAlign val="subscript"/>
        <sz val="11"/>
        <color theme="1"/>
        <rFont val="Times New Roman"/>
        <family val="1"/>
        <charset val="204"/>
      </rPr>
      <t>bр</t>
    </r>
    <r>
      <rPr>
        <sz val="11"/>
        <color theme="1"/>
        <rFont val="Times New Roman"/>
        <family val="1"/>
        <charset val="204"/>
      </rPr>
      <t>, Н/мм</t>
    </r>
    <r>
      <rPr>
        <vertAlign val="superscript"/>
        <sz val="11"/>
        <color theme="1"/>
        <rFont val="Times New Roman"/>
        <family val="1"/>
        <charset val="204"/>
      </rPr>
      <t>2</t>
    </r>
  </si>
  <si>
    <t>Товщина елементів у з’єднанні, мм</t>
  </si>
  <si>
    <t xml:space="preserve">Кі-ть болтів у з’єднанні, шт </t>
  </si>
  <si>
    <r>
      <t>F</t>
    </r>
    <r>
      <rPr>
        <vertAlign val="subscript"/>
        <sz val="11"/>
        <color theme="1"/>
        <rFont val="Times New Roman"/>
        <family val="1"/>
        <charset val="204"/>
      </rPr>
      <t>bр</t>
    </r>
    <r>
      <rPr>
        <sz val="11"/>
        <color theme="1"/>
        <rFont val="Times New Roman"/>
        <family val="1"/>
        <charset val="204"/>
      </rPr>
      <t xml:space="preserve">, кН </t>
    </r>
  </si>
  <si>
    <t>Розрахунко-ве зусилля в з’єднанні N, кН</t>
  </si>
  <si>
    <t>Процент вико-ристання, %</t>
  </si>
  <si>
    <t>Болт М24</t>
  </si>
  <si>
    <t>+4,80</t>
  </si>
  <si>
    <t>+9,60</t>
  </si>
  <si>
    <t>+14,40</t>
  </si>
  <si>
    <t>+19,20</t>
  </si>
  <si>
    <t>+24,00</t>
  </si>
  <si>
    <t>+28,80</t>
  </si>
  <si>
    <t>+33,60</t>
  </si>
  <si>
    <t>+38,40</t>
  </si>
  <si>
    <t>+43,20</t>
  </si>
  <si>
    <t>+52,80</t>
  </si>
  <si>
    <t>+48,00</t>
  </si>
  <si>
    <t>8,8</t>
  </si>
  <si>
    <t>Болт М30</t>
  </si>
  <si>
    <t>+12,00</t>
  </si>
  <si>
    <t xml:space="preserve">Несуча здатність однобол-тового з’єднання </t>
  </si>
  <si>
    <t>+36,00</t>
  </si>
  <si>
    <t>+42,00</t>
  </si>
  <si>
    <t>+54,00</t>
  </si>
  <si>
    <t>+63,00</t>
  </si>
  <si>
    <t>5,8</t>
  </si>
  <si>
    <t>Анкерний болт</t>
  </si>
  <si>
    <r>
      <t>Площа поперечного перерізу болта А</t>
    </r>
    <r>
      <rPr>
        <vertAlign val="subscript"/>
        <sz val="12"/>
        <color theme="1"/>
        <rFont val="Times New Roman"/>
        <family val="1"/>
        <charset val="204"/>
      </rPr>
      <t>bn</t>
    </r>
    <r>
      <rPr>
        <sz val="12"/>
        <color theme="1"/>
        <rFont val="Times New Roman"/>
        <family val="1"/>
        <charset val="204"/>
      </rPr>
      <t>, см²</t>
    </r>
  </si>
  <si>
    <t>Кількість анкерних болтів</t>
  </si>
  <si>
    <t>Розрахун-кове зусилля в з'єднанні N, кН</t>
  </si>
  <si>
    <r>
      <t xml:space="preserve">К </t>
    </r>
    <r>
      <rPr>
        <vertAlign val="subscript"/>
        <sz val="12"/>
        <color theme="1"/>
        <rFont val="Times New Roman"/>
        <family val="1"/>
        <charset val="204"/>
      </rPr>
      <t>0</t>
    </r>
  </si>
  <si>
    <r>
      <t>Граничне розрахун- кове зусилля з'єднання N</t>
    </r>
    <r>
      <rPr>
        <vertAlign val="subscript"/>
        <sz val="12"/>
        <color theme="1"/>
        <rFont val="Times New Roman"/>
        <family val="1"/>
        <charset val="204"/>
      </rPr>
      <t>u</t>
    </r>
    <r>
      <rPr>
        <sz val="12"/>
        <color theme="1"/>
        <rFont val="Times New Roman"/>
        <family val="1"/>
        <charset val="204"/>
      </rPr>
      <t>, кН</t>
    </r>
  </si>
  <si>
    <r>
      <t>Розрахун-ковий опір R</t>
    </r>
    <r>
      <rPr>
        <vertAlign val="subscript"/>
        <sz val="12"/>
        <color theme="1"/>
        <rFont val="Times New Roman"/>
        <family val="1"/>
        <charset val="204"/>
      </rPr>
      <t>bs</t>
    </r>
    <r>
      <rPr>
        <sz val="12"/>
        <color theme="1"/>
        <rFont val="Times New Roman"/>
        <family val="1"/>
        <charset val="204"/>
      </rPr>
      <t>, Мпа</t>
    </r>
  </si>
  <si>
    <t>Коеф. викорис-тання несучої здатності</t>
  </si>
  <si>
    <t>Відмітка розташу-вання стику</t>
  </si>
  <si>
    <t>Розра-хункове зусилля в з’єднанні N, кН</t>
  </si>
  <si>
    <t>Болт М36</t>
  </si>
  <si>
    <t>+7,40</t>
  </si>
  <si>
    <t>+12,20</t>
  </si>
  <si>
    <t>+18,20</t>
  </si>
  <si>
    <t>+23,00</t>
  </si>
  <si>
    <t>+28,50</t>
  </si>
  <si>
    <t>+34,00</t>
  </si>
  <si>
    <t>+39,50</t>
  </si>
  <si>
    <t>+45,00</t>
  </si>
  <si>
    <t>c</t>
  </si>
  <si>
    <t>+47,7</t>
  </si>
  <si>
    <t>Верхній пояс</t>
  </si>
  <si>
    <t xml:space="preserve">Номер елемента ферми </t>
  </si>
  <si>
    <t>А, см2</t>
  </si>
  <si>
    <r>
      <rPr>
        <b/>
        <i/>
        <sz val="10"/>
        <color rgb="FF000000"/>
        <rFont val="Times New Roman"/>
        <family val="1"/>
        <charset val="204"/>
      </rPr>
      <t>l</t>
    </r>
    <r>
      <rPr>
        <b/>
        <sz val="10"/>
        <color rgb="FF000000"/>
        <rFont val="Times New Roman"/>
        <family val="1"/>
        <charset val="204"/>
      </rPr>
      <t>, см</t>
    </r>
  </si>
  <si>
    <t>іу, см</t>
  </si>
  <si>
    <t>іz, см</t>
  </si>
  <si>
    <t>Lef,z, см</t>
  </si>
  <si>
    <t>Lef,y, см</t>
  </si>
  <si>
    <t>λz</t>
  </si>
  <si>
    <t>λy</t>
  </si>
  <si>
    <r>
      <t xml:space="preserve">Коефіцієнт надійності за матералом </t>
    </r>
    <r>
      <rPr>
        <sz val="11"/>
        <color theme="1"/>
        <rFont val="Calibri"/>
        <family val="2"/>
        <charset val="204"/>
      </rPr>
      <t>γm</t>
    </r>
  </si>
  <si>
    <t>Нормативний опір сталі Rn, Мпа</t>
  </si>
  <si>
    <t>Розрахунковий опір сталі Ry, Мпа</t>
  </si>
  <si>
    <t>Умовна гнучкість</t>
  </si>
  <si>
    <t>km</t>
  </si>
  <si>
    <t>Напруження σ, (МПа)</t>
  </si>
  <si>
    <r>
      <t xml:space="preserve">Коефіцієнт відповідальності </t>
    </r>
    <r>
      <rPr>
        <sz val="11"/>
        <color theme="1"/>
        <rFont val="Times New Roman"/>
        <family val="1"/>
        <charset val="204"/>
      </rPr>
      <t>γ</t>
    </r>
    <r>
      <rPr>
        <sz val="11"/>
        <color theme="1"/>
        <rFont val="Calibri"/>
        <family val="2"/>
        <charset val="204"/>
      </rPr>
      <t>n</t>
    </r>
  </si>
  <si>
    <t>Нижній пояс</t>
  </si>
  <si>
    <t>2L50х6</t>
  </si>
  <si>
    <t>Розкоси стиснуті</t>
  </si>
  <si>
    <t>Розкоси розтягнуті</t>
  </si>
  <si>
    <t>Стояки</t>
  </si>
  <si>
    <r>
      <rPr>
        <b/>
        <sz val="10"/>
        <color rgb="FF000000"/>
        <rFont val="Calibri"/>
        <family val="2"/>
        <charset val="204"/>
      </rPr>
      <t>µ</t>
    </r>
    <r>
      <rPr>
        <b/>
        <sz val="7.5"/>
        <color rgb="FF000000"/>
        <rFont val="Times New Roman"/>
        <family val="1"/>
        <charset val="204"/>
      </rPr>
      <t>z</t>
    </r>
  </si>
  <si>
    <r>
      <rPr>
        <b/>
        <sz val="10"/>
        <color rgb="FF000000"/>
        <rFont val="Calibri"/>
        <family val="2"/>
        <charset val="204"/>
      </rPr>
      <t>µ</t>
    </r>
    <r>
      <rPr>
        <b/>
        <sz val="7.5"/>
        <color rgb="FF000000"/>
        <rFont val="Times New Roman"/>
        <family val="1"/>
        <charset val="204"/>
      </rPr>
      <t>y</t>
    </r>
  </si>
  <si>
    <t>Перевірка несучої здатності елементів</t>
  </si>
  <si>
    <t>Розрахунок довжини зварних швів</t>
  </si>
  <si>
    <t>Розрахункове зусилля N, кН</t>
  </si>
  <si>
    <t>Розрахункові параметри швів по обушку</t>
  </si>
  <si>
    <t>Noб</t>
  </si>
  <si>
    <t>kf, мм</t>
  </si>
  <si>
    <t>lw</t>
  </si>
  <si>
    <t>Розрахункові параметри швів по перу</t>
  </si>
  <si>
    <t>n</t>
  </si>
  <si>
    <r>
      <rPr>
        <sz val="11"/>
        <color theme="1"/>
        <rFont val="Times New Roman"/>
        <family val="1"/>
        <charset val="204"/>
      </rPr>
      <t>β</t>
    </r>
    <r>
      <rPr>
        <sz val="8.25"/>
        <color theme="1"/>
        <rFont val="Calibri"/>
        <family val="2"/>
        <charset val="204"/>
      </rPr>
      <t>f</t>
    </r>
  </si>
  <si>
    <r>
      <rPr>
        <sz val="11"/>
        <color theme="1"/>
        <rFont val="Times New Roman"/>
        <family val="1"/>
        <charset val="204"/>
      </rPr>
      <t>β</t>
    </r>
    <r>
      <rPr>
        <sz val="8.25"/>
        <color theme="1"/>
        <rFont val="Calibri"/>
        <family val="2"/>
        <charset val="204"/>
      </rPr>
      <t>z</t>
    </r>
  </si>
  <si>
    <t>Rwf</t>
  </si>
  <si>
    <t>Run</t>
  </si>
  <si>
    <t>Розрахункова умова</t>
  </si>
  <si>
    <t>Nп</t>
  </si>
  <si>
    <t>11, 12</t>
  </si>
  <si>
    <t>9, 10</t>
  </si>
  <si>
    <t>2L150х10</t>
  </si>
  <si>
    <t>20, 21</t>
  </si>
  <si>
    <t>22, 23</t>
  </si>
  <si>
    <t>2L160х12</t>
  </si>
  <si>
    <t>2L200х12</t>
  </si>
  <si>
    <t>29, 31, 33</t>
  </si>
  <si>
    <t>2L110х8</t>
  </si>
  <si>
    <t>2L140х10</t>
  </si>
  <si>
    <t>30, 32</t>
  </si>
  <si>
    <t>29, 31</t>
  </si>
  <si>
    <t>2L63х6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</si>
</sst>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bscript"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7.5"/>
      <color rgb="FF000000"/>
      <name val="Times New Roman"/>
      <family val="1"/>
      <charset val="204"/>
    </font>
    <font>
      <b/>
      <sz val="10"/>
      <color rgb="FF000000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8.25"/>
      <color theme="1"/>
      <name val="Calibri"/>
      <family val="2"/>
      <charset val="204"/>
    </font>
    <font>
      <sz val="11"/>
      <color theme="1"/>
      <name val="Calibri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2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/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65" fontId="3" fillId="2" borderId="0" xfId="0" applyNumberFormat="1" applyFont="1" applyFill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20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0" fillId="0" borderId="24" xfId="0" applyBorder="1"/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6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11"/>
  <sheetViews>
    <sheetView tabSelected="1" topLeftCell="A3" zoomScale="80" zoomScaleNormal="80" workbookViewId="0">
      <selection activeCell="B23" sqref="B23"/>
    </sheetView>
  </sheetViews>
  <sheetFormatPr defaultRowHeight="14.4" x14ac:dyDescent="0.3"/>
  <cols>
    <col min="2" max="2" width="7.88671875" customWidth="1"/>
    <col min="3" max="3" width="8.5546875" customWidth="1"/>
    <col min="4" max="4" width="10.33203125" customWidth="1"/>
    <col min="5" max="5" width="7.33203125" customWidth="1"/>
    <col min="6" max="6" width="7.109375" customWidth="1"/>
    <col min="7" max="7" width="10.109375" customWidth="1"/>
    <col min="8" max="8" width="6.21875" customWidth="1"/>
    <col min="9" max="9" width="6.77734375" customWidth="1"/>
    <col min="10" max="10" width="5.5546875" customWidth="1"/>
    <col min="11" max="11" width="5.21875" customWidth="1"/>
    <col min="12" max="12" width="4.77734375" customWidth="1"/>
    <col min="13" max="13" width="5.5546875" customWidth="1"/>
    <col min="14" max="14" width="7.77734375" customWidth="1"/>
    <col min="15" max="15" width="6.44140625" customWidth="1"/>
    <col min="16" max="16" width="5" customWidth="1"/>
    <col min="17" max="17" width="5.33203125" customWidth="1"/>
    <col min="18" max="19" width="6.77734375" customWidth="1"/>
    <col min="20" max="20" width="5.44140625" customWidth="1"/>
    <col min="21" max="21" width="6.77734375" customWidth="1"/>
    <col min="22" max="22" width="6" customWidth="1"/>
    <col min="23" max="23" width="7.5546875" customWidth="1"/>
    <col min="24" max="24" width="6.5546875" customWidth="1"/>
    <col min="25" max="25" width="7" customWidth="1"/>
    <col min="26" max="26" width="6.5546875" customWidth="1"/>
    <col min="27" max="28" width="8.44140625" customWidth="1"/>
    <col min="29" max="29" width="16.5546875" customWidth="1"/>
    <col min="30" max="30" width="9.88671875" customWidth="1"/>
    <col min="31" max="31" width="9.44140625" customWidth="1"/>
    <col min="32" max="32" width="9.6640625" customWidth="1"/>
    <col min="33" max="33" width="14.44140625" customWidth="1"/>
    <col min="34" max="34" width="9.88671875" customWidth="1"/>
    <col min="35" max="35" width="9.109375" customWidth="1"/>
    <col min="36" max="36" width="8.77734375" customWidth="1"/>
    <col min="37" max="37" width="9.21875" customWidth="1"/>
    <col min="38" max="38" width="11" customWidth="1"/>
    <col min="39" max="39" width="6.44140625" customWidth="1"/>
    <col min="40" max="40" width="6" customWidth="1"/>
    <col min="41" max="41" width="6.21875" customWidth="1"/>
    <col min="42" max="43" width="6.77734375" customWidth="1"/>
    <col min="44" max="44" width="7.5546875" customWidth="1"/>
    <col min="45" max="45" width="10.44140625" customWidth="1"/>
    <col min="46" max="46" width="7" customWidth="1"/>
    <col min="47" max="47" width="7.44140625" customWidth="1"/>
    <col min="48" max="48" width="8.21875" customWidth="1"/>
    <col min="49" max="49" width="7.5546875" customWidth="1"/>
    <col min="50" max="50" width="7.21875" customWidth="1"/>
    <col min="51" max="51" width="6.44140625" customWidth="1"/>
    <col min="52" max="52" width="9.77734375" customWidth="1"/>
    <col min="55" max="55" width="6.77734375" customWidth="1"/>
    <col min="56" max="56" width="8" customWidth="1"/>
  </cols>
  <sheetData>
    <row r="1" spans="3:39" ht="31.95" customHeight="1" x14ac:dyDescent="0.3">
      <c r="D1" s="83" t="s">
        <v>91</v>
      </c>
      <c r="E1" s="83"/>
      <c r="F1" s="83"/>
      <c r="G1" s="83"/>
      <c r="H1" s="55">
        <v>245</v>
      </c>
      <c r="I1" t="s">
        <v>90</v>
      </c>
      <c r="O1" s="56">
        <v>1.0249999999999999</v>
      </c>
      <c r="AC1" s="57" t="s">
        <v>113</v>
      </c>
      <c r="AD1" s="57" t="s">
        <v>114</v>
      </c>
      <c r="AE1" s="58" t="s">
        <v>115</v>
      </c>
      <c r="AF1" s="58" t="s">
        <v>116</v>
      </c>
      <c r="AG1" s="59" t="s">
        <v>117</v>
      </c>
    </row>
    <row r="2" spans="3:39" ht="28.95" customHeight="1" x14ac:dyDescent="0.3">
      <c r="D2" s="83" t="s">
        <v>92</v>
      </c>
      <c r="E2" s="83"/>
      <c r="F2" s="83"/>
      <c r="G2" s="83"/>
      <c r="H2" s="48">
        <f>H1/O1</f>
        <v>239.02439024390247</v>
      </c>
      <c r="I2" t="s">
        <v>96</v>
      </c>
      <c r="O2" s="55">
        <v>1.1000000000000001</v>
      </c>
      <c r="AC2" s="58">
        <v>0.9</v>
      </c>
      <c r="AD2" s="58">
        <v>1.05</v>
      </c>
      <c r="AE2" s="58">
        <v>180</v>
      </c>
      <c r="AF2" s="58">
        <f>IF(OR(H1=235,H1=245),370,IF(H1=255,380,460))</f>
        <v>370</v>
      </c>
      <c r="AG2" s="59" t="str">
        <f>IF(AC2*AE2/(AD2*0.45*AF2)&lt;=1,"у площині металу шва","у площині межі сплавлення")</f>
        <v>у площині металу шва</v>
      </c>
      <c r="AH2" s="47">
        <f>AC2*AE2/(AD2*0.45*AF2)</f>
        <v>0.92664092664092657</v>
      </c>
    </row>
    <row r="3" spans="3:39" x14ac:dyDescent="0.3">
      <c r="D3" s="48"/>
      <c r="E3" s="48"/>
      <c r="F3" s="48"/>
      <c r="G3" s="48"/>
      <c r="H3" s="48"/>
      <c r="O3" s="48"/>
    </row>
    <row r="4" spans="3:39" ht="21" x14ac:dyDescent="0.4">
      <c r="C4" s="36" t="s">
        <v>104</v>
      </c>
      <c r="AC4" s="36" t="s">
        <v>105</v>
      </c>
    </row>
    <row r="5" spans="3:39" ht="0.6" customHeight="1" x14ac:dyDescent="0.3"/>
    <row r="6" spans="3:39" ht="21" customHeight="1" x14ac:dyDescent="0.3">
      <c r="C6" s="63" t="s">
        <v>81</v>
      </c>
      <c r="D6" s="64" t="s">
        <v>1</v>
      </c>
      <c r="E6" s="64" t="s">
        <v>2</v>
      </c>
      <c r="F6" s="64" t="s">
        <v>83</v>
      </c>
      <c r="G6" s="64" t="s">
        <v>3</v>
      </c>
      <c r="H6" s="64" t="s">
        <v>4</v>
      </c>
      <c r="I6" s="64" t="s">
        <v>82</v>
      </c>
      <c r="J6" s="64" t="s">
        <v>84</v>
      </c>
      <c r="K6" s="64" t="s">
        <v>85</v>
      </c>
      <c r="L6" s="84" t="s">
        <v>102</v>
      </c>
      <c r="M6" s="84" t="s">
        <v>103</v>
      </c>
      <c r="N6" s="64" t="s">
        <v>86</v>
      </c>
      <c r="O6" s="64" t="s">
        <v>87</v>
      </c>
      <c r="P6" s="64" t="s">
        <v>88</v>
      </c>
      <c r="Q6" s="64" t="s">
        <v>89</v>
      </c>
      <c r="R6" s="64" t="s">
        <v>93</v>
      </c>
      <c r="S6" s="64" t="s">
        <v>5</v>
      </c>
      <c r="T6" s="64" t="s">
        <v>24</v>
      </c>
      <c r="U6" s="64" t="s">
        <v>6</v>
      </c>
      <c r="V6" s="64" t="s">
        <v>7</v>
      </c>
      <c r="W6" s="64" t="s">
        <v>95</v>
      </c>
      <c r="X6" s="64" t="s">
        <v>8</v>
      </c>
      <c r="Y6" s="88" t="s">
        <v>94</v>
      </c>
      <c r="Z6" s="64" t="s">
        <v>25</v>
      </c>
      <c r="AC6" s="63" t="s">
        <v>81</v>
      </c>
      <c r="AD6" s="63" t="s">
        <v>106</v>
      </c>
      <c r="AE6" s="63" t="s">
        <v>3</v>
      </c>
      <c r="AF6" s="64" t="s">
        <v>7</v>
      </c>
      <c r="AG6" s="89" t="s">
        <v>112</v>
      </c>
      <c r="AH6" s="63" t="s">
        <v>107</v>
      </c>
      <c r="AI6" s="63"/>
      <c r="AJ6" s="63"/>
      <c r="AK6" s="63" t="s">
        <v>111</v>
      </c>
      <c r="AL6" s="63"/>
      <c r="AM6" s="63"/>
    </row>
    <row r="7" spans="3:39" ht="16.95" customHeight="1" x14ac:dyDescent="0.3">
      <c r="C7" s="63"/>
      <c r="D7" s="64"/>
      <c r="E7" s="64"/>
      <c r="F7" s="64"/>
      <c r="G7" s="64"/>
      <c r="H7" s="64"/>
      <c r="I7" s="64"/>
      <c r="J7" s="64"/>
      <c r="K7" s="64"/>
      <c r="L7" s="84"/>
      <c r="M7" s="8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88"/>
      <c r="Z7" s="64"/>
      <c r="AC7" s="63"/>
      <c r="AD7" s="63"/>
      <c r="AE7" s="63"/>
      <c r="AF7" s="64"/>
      <c r="AG7" s="90"/>
      <c r="AH7" s="63"/>
      <c r="AI7" s="63"/>
      <c r="AJ7" s="63"/>
      <c r="AK7" s="63"/>
      <c r="AL7" s="63"/>
      <c r="AM7" s="63"/>
    </row>
    <row r="8" spans="3:39" ht="16.95" customHeight="1" x14ac:dyDescent="0.3">
      <c r="C8" s="63"/>
      <c r="D8" s="64"/>
      <c r="E8" s="64"/>
      <c r="F8" s="64"/>
      <c r="G8" s="64"/>
      <c r="H8" s="64"/>
      <c r="I8" s="64"/>
      <c r="J8" s="64"/>
      <c r="K8" s="64"/>
      <c r="L8" s="84"/>
      <c r="M8" s="8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88"/>
      <c r="Z8" s="64"/>
      <c r="AC8" s="63"/>
      <c r="AD8" s="63"/>
      <c r="AE8" s="63"/>
      <c r="AF8" s="64"/>
      <c r="AG8" s="90"/>
      <c r="AH8" s="63" t="s">
        <v>108</v>
      </c>
      <c r="AI8" s="63" t="s">
        <v>109</v>
      </c>
      <c r="AJ8" s="63" t="s">
        <v>110</v>
      </c>
      <c r="AK8" s="63" t="s">
        <v>118</v>
      </c>
      <c r="AL8" s="63" t="s">
        <v>109</v>
      </c>
      <c r="AM8" s="63" t="s">
        <v>110</v>
      </c>
    </row>
    <row r="9" spans="3:39" x14ac:dyDescent="0.3">
      <c r="C9" s="63"/>
      <c r="D9" s="64"/>
      <c r="E9" s="64"/>
      <c r="F9" s="64"/>
      <c r="G9" s="64"/>
      <c r="H9" s="64"/>
      <c r="I9" s="64"/>
      <c r="J9" s="64"/>
      <c r="K9" s="64"/>
      <c r="L9" s="84"/>
      <c r="M9" s="8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88"/>
      <c r="Z9" s="64"/>
      <c r="AC9" s="63"/>
      <c r="AD9" s="63"/>
      <c r="AE9" s="63"/>
      <c r="AF9" s="64"/>
      <c r="AG9" s="91"/>
      <c r="AH9" s="63"/>
      <c r="AI9" s="63"/>
      <c r="AJ9" s="63"/>
      <c r="AK9" s="63"/>
      <c r="AL9" s="63"/>
      <c r="AM9" s="63"/>
    </row>
    <row r="10" spans="3:39" x14ac:dyDescent="0.3">
      <c r="C10" s="32">
        <v>1</v>
      </c>
      <c r="D10" s="32">
        <v>2</v>
      </c>
      <c r="E10" s="32">
        <v>3</v>
      </c>
      <c r="F10" s="32">
        <v>4</v>
      </c>
      <c r="G10" s="32">
        <v>5</v>
      </c>
      <c r="H10" s="32">
        <v>6</v>
      </c>
      <c r="I10" s="32">
        <v>7</v>
      </c>
      <c r="J10" s="32">
        <v>8</v>
      </c>
      <c r="K10" s="32">
        <v>9</v>
      </c>
      <c r="L10" s="32">
        <v>10</v>
      </c>
      <c r="M10" s="32">
        <v>11</v>
      </c>
      <c r="N10" s="32">
        <v>12</v>
      </c>
      <c r="O10" s="32">
        <v>13</v>
      </c>
      <c r="P10" s="32">
        <v>14</v>
      </c>
      <c r="Q10" s="32">
        <v>15</v>
      </c>
      <c r="R10" s="32">
        <v>16</v>
      </c>
      <c r="S10" s="32">
        <v>17</v>
      </c>
      <c r="T10" s="32">
        <v>18</v>
      </c>
      <c r="U10" s="32">
        <v>19</v>
      </c>
      <c r="V10" s="32">
        <v>20</v>
      </c>
      <c r="W10" s="32">
        <v>21</v>
      </c>
      <c r="X10" s="32">
        <v>22</v>
      </c>
      <c r="Y10" s="32">
        <v>23</v>
      </c>
      <c r="Z10" s="32">
        <v>24</v>
      </c>
      <c r="AC10" s="32">
        <v>1</v>
      </c>
      <c r="AD10" s="32">
        <v>2</v>
      </c>
      <c r="AE10" s="32">
        <v>3</v>
      </c>
      <c r="AF10" s="32">
        <v>4</v>
      </c>
      <c r="AG10" s="32">
        <v>5</v>
      </c>
      <c r="AH10" s="32">
        <v>6</v>
      </c>
      <c r="AI10" s="32">
        <v>7</v>
      </c>
      <c r="AJ10" s="32">
        <v>8</v>
      </c>
      <c r="AK10" s="32">
        <v>9</v>
      </c>
      <c r="AL10" s="32">
        <v>10</v>
      </c>
      <c r="AM10" s="32">
        <v>11</v>
      </c>
    </row>
    <row r="11" spans="3:39" ht="15" customHeight="1" x14ac:dyDescent="0.3">
      <c r="C11" s="65" t="s">
        <v>80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C11" s="66" t="str">
        <f>C11</f>
        <v>Верхній пояс</v>
      </c>
      <c r="AD11" s="66"/>
      <c r="AE11" s="66"/>
      <c r="AF11" s="66"/>
      <c r="AG11" s="66"/>
      <c r="AH11" s="66"/>
      <c r="AI11" s="66"/>
      <c r="AJ11" s="66"/>
      <c r="AK11" s="66"/>
      <c r="AL11" s="66"/>
      <c r="AM11" s="66"/>
    </row>
    <row r="12" spans="3:39" x14ac:dyDescent="0.3">
      <c r="C12" s="32" t="s">
        <v>119</v>
      </c>
      <c r="D12" s="50">
        <v>-1154.0999999999999</v>
      </c>
      <c r="E12" s="51">
        <v>0</v>
      </c>
      <c r="F12" s="51">
        <v>270</v>
      </c>
      <c r="G12" s="32" t="s">
        <v>125</v>
      </c>
      <c r="H12" s="32" t="s">
        <v>78</v>
      </c>
      <c r="I12" s="32">
        <v>94.2</v>
      </c>
      <c r="J12" s="32">
        <v>6.22</v>
      </c>
      <c r="K12" s="32">
        <v>8.6199999999999992</v>
      </c>
      <c r="L12" s="32">
        <v>1</v>
      </c>
      <c r="M12" s="32">
        <v>2</v>
      </c>
      <c r="N12" s="52">
        <f t="shared" ref="N12:N14" si="0">F12*L12</f>
        <v>270</v>
      </c>
      <c r="O12" s="52">
        <f t="shared" ref="O12:O14" si="1">F12*M12</f>
        <v>540</v>
      </c>
      <c r="P12" s="52">
        <f t="shared" ref="P12:Q14" si="2">N12/J12</f>
        <v>43.408360128617367</v>
      </c>
      <c r="Q12" s="52">
        <f t="shared" si="2"/>
        <v>62.645011600928079</v>
      </c>
      <c r="R12" s="34">
        <f t="shared" ref="R12:R14" si="3">MAX(P12:Q12)*SQRT($H$2/206000)</f>
        <v>2.1338996554788747</v>
      </c>
      <c r="S12" s="32">
        <f t="shared" ref="S12:S14" si="4">IF(D12=0,400,200)</f>
        <v>200</v>
      </c>
      <c r="T12" s="34">
        <f>IF(D12=0,0,IF(H12="a",9.87*(1-0.03+0.06*R12)+R12^2,IF(H12="b",9.87*(1-0.04+0.09*R12)+R12^2,9.87*(1-0.04+0.14*R12)+R12^2)))</f>
        <v>16.977350283593569</v>
      </c>
      <c r="U12" s="53">
        <f t="shared" ref="U12:U14" si="5">IF(D12=0,1,IF(AND(H12="a",R12&gt;3.8,0.5/(R12^2)*(T12-SQRT(T12^2-39.48*R12^2))&gt;7.6/(R12^2)),7.6/(R12^2),IF(AND(H12="b",R12&gt;4.4,0.5/(R12^2)*(T12-SQRT(T12^2-39.48*R12^2))&gt;7.6/(R12^2)),7.6/(R12^2),IF(AND(H12="c",R12&gt;5.8,0.5/(R12^2)*(T12-SQRT(T12^2-39.48*R12^2))&gt;7.6/(R12^2)),7.6/(R12^2),0.5/(R12^2)*(T12-SQRT(T12^2-39.48*R12^2))))))</f>
        <v>0.72065819297350397</v>
      </c>
      <c r="V12" s="32">
        <v>0.8</v>
      </c>
      <c r="W12" s="51">
        <f t="shared" ref="W12:W14" si="6">MAX(ABS(D12)*$O$2/I12/U12*10,E12*$O$2/I12*10)</f>
        <v>187.00615248333378</v>
      </c>
      <c r="X12" s="51">
        <f t="shared" ref="X12:X14" si="7">$H$2*V12</f>
        <v>191.21951219512198</v>
      </c>
      <c r="Y12" s="54">
        <f t="shared" ref="Y12:Y14" si="8">W12/X12</f>
        <v>0.97796584844600554</v>
      </c>
      <c r="Z12" s="34">
        <f t="shared" ref="Z12:Z14" si="9">MAX(P12,Q12)/S12</f>
        <v>0.3132250580046404</v>
      </c>
      <c r="AC12" s="58" t="str">
        <f>C12</f>
        <v>11, 12</v>
      </c>
      <c r="AD12" s="60">
        <f t="shared" ref="AD12:AD14" si="10">D12</f>
        <v>-1154.0999999999999</v>
      </c>
      <c r="AE12" s="58" t="str">
        <f>G12</f>
        <v>2L200х12</v>
      </c>
      <c r="AF12" s="58">
        <v>1</v>
      </c>
      <c r="AG12" s="58">
        <v>2</v>
      </c>
      <c r="AH12" s="60">
        <f t="shared" ref="AH12:AH16" si="11">0.7*ABS(AD12)</f>
        <v>807.86999999999989</v>
      </c>
      <c r="AI12" s="58">
        <v>8</v>
      </c>
      <c r="AJ12" s="61">
        <f t="shared" ref="AJ12:AJ16" si="12">IF($AG$2="у площині металу шва",AH12*$O$2/(AG12*$AC$2*AI12*$AE$2)*1000+10,AH12*$O$2/(AG12*$AD$2*AI12*0.45*$AF$2)*1000+10)</f>
        <v>352.84606481481478</v>
      </c>
      <c r="AK12" s="60">
        <f t="shared" ref="AK12:AK16" si="13">0.3*ABS(AD12)</f>
        <v>346.22999999999996</v>
      </c>
      <c r="AL12" s="58">
        <v>6</v>
      </c>
      <c r="AM12" s="61">
        <f>IF($AG$2="у площині металу шва",AK12*$O$2/(AG12*$AC$2*AL12*$AE$2)*1000+10,AK12*$O$2/(AG12*$AD$2*AL12*0.45*$AF$2)*1000+10)</f>
        <v>205.91203703703701</v>
      </c>
    </row>
    <row r="13" spans="3:39" ht="15.75" customHeight="1" x14ac:dyDescent="0.3">
      <c r="C13" s="32" t="s">
        <v>120</v>
      </c>
      <c r="D13" s="50">
        <v>-777.25</v>
      </c>
      <c r="E13" s="51">
        <v>0</v>
      </c>
      <c r="F13" s="51">
        <v>153</v>
      </c>
      <c r="G13" s="32" t="s">
        <v>121</v>
      </c>
      <c r="H13" s="32" t="s">
        <v>78</v>
      </c>
      <c r="I13" s="32">
        <v>58.66</v>
      </c>
      <c r="J13" s="32">
        <v>4.6500000000000004</v>
      </c>
      <c r="K13" s="32">
        <v>6.59</v>
      </c>
      <c r="L13" s="32">
        <v>1</v>
      </c>
      <c r="M13" s="32">
        <v>2</v>
      </c>
      <c r="N13" s="52">
        <f t="shared" si="0"/>
        <v>153</v>
      </c>
      <c r="O13" s="52">
        <f t="shared" si="1"/>
        <v>306</v>
      </c>
      <c r="P13" s="52">
        <f t="shared" si="2"/>
        <v>32.903225806451609</v>
      </c>
      <c r="Q13" s="52">
        <f t="shared" si="2"/>
        <v>46.433990895295906</v>
      </c>
      <c r="R13" s="34">
        <f t="shared" si="3"/>
        <v>1.5816978022957731</v>
      </c>
      <c r="S13" s="32">
        <f t="shared" si="4"/>
        <v>200</v>
      </c>
      <c r="T13" s="34">
        <f>IF(H13="a",9.87*(1-0.03+0.06*R13)+R13^2,IF(H13="b",9.87*(1-0.04+0.09*R13)+R13^2,9.87*(1-0.04+0.14*R13)+R13^2))</f>
        <v>14.162557960999576</v>
      </c>
      <c r="U13" s="53">
        <f t="shared" si="5"/>
        <v>0.81393451318233145</v>
      </c>
      <c r="V13" s="32">
        <v>0.8</v>
      </c>
      <c r="W13" s="51">
        <f t="shared" si="6"/>
        <v>179.06961216902741</v>
      </c>
      <c r="X13" s="51">
        <f t="shared" si="7"/>
        <v>191.21951219512198</v>
      </c>
      <c r="Y13" s="54">
        <f t="shared" si="8"/>
        <v>0.93646098200639316</v>
      </c>
      <c r="Z13" s="34">
        <f t="shared" si="9"/>
        <v>0.23216995447647953</v>
      </c>
      <c r="AC13" s="58" t="str">
        <f t="shared" ref="AC13:AC20" si="14">C13</f>
        <v>9, 10</v>
      </c>
      <c r="AD13" s="60">
        <f t="shared" si="10"/>
        <v>-777.25</v>
      </c>
      <c r="AE13" s="58" t="str">
        <f t="shared" ref="AE13:AE16" si="15">G13</f>
        <v>2L150х10</v>
      </c>
      <c r="AF13" s="58">
        <v>1</v>
      </c>
      <c r="AG13" s="58">
        <v>2</v>
      </c>
      <c r="AH13" s="60">
        <f t="shared" si="11"/>
        <v>544.07499999999993</v>
      </c>
      <c r="AI13" s="58">
        <v>8</v>
      </c>
      <c r="AJ13" s="61">
        <f t="shared" si="12"/>
        <v>240.8960262345679</v>
      </c>
      <c r="AK13" s="60">
        <f t="shared" si="13"/>
        <v>233.17499999999998</v>
      </c>
      <c r="AL13" s="58">
        <v>6</v>
      </c>
      <c r="AM13" s="61">
        <f t="shared" ref="AM13:AM20" si="16">IF($AG$2="у площині металу шва",AK13*$O$2/(AG13*$AC$2*AL13*$AE$2)*1000+10,AK13*$O$2/(AG13*$AD$2*AL13*0.45*$AF$2)*1000+10)</f>
        <v>141.94058641975306</v>
      </c>
    </row>
    <row r="14" spans="3:39" ht="15" customHeight="1" x14ac:dyDescent="0.3">
      <c r="C14" s="32">
        <v>13</v>
      </c>
      <c r="D14" s="50">
        <v>-1007.55</v>
      </c>
      <c r="E14" s="51">
        <v>0</v>
      </c>
      <c r="F14" s="51">
        <v>153</v>
      </c>
      <c r="G14" s="32" t="s">
        <v>124</v>
      </c>
      <c r="H14" s="32" t="s">
        <v>78</v>
      </c>
      <c r="I14" s="32">
        <v>74.78</v>
      </c>
      <c r="J14" s="32">
        <v>4.9400000000000004</v>
      </c>
      <c r="K14" s="32">
        <v>7.02</v>
      </c>
      <c r="L14" s="32">
        <v>1</v>
      </c>
      <c r="M14" s="32">
        <v>2</v>
      </c>
      <c r="N14" s="52">
        <f t="shared" si="0"/>
        <v>153</v>
      </c>
      <c r="O14" s="52">
        <f t="shared" si="1"/>
        <v>306</v>
      </c>
      <c r="P14" s="52">
        <f t="shared" si="2"/>
        <v>30.971659919028337</v>
      </c>
      <c r="Q14" s="52">
        <f t="shared" si="2"/>
        <v>43.589743589743591</v>
      </c>
      <c r="R14" s="34">
        <f t="shared" si="3"/>
        <v>1.4848131790782255</v>
      </c>
      <c r="S14" s="32">
        <f t="shared" si="4"/>
        <v>200</v>
      </c>
      <c r="T14" s="34">
        <f>IF(H14="a",9.87*(1-0.03+0.06*R14)+R14^2,IF(H14="b",9.87*(1-0.04+0.09*R14)+R14^2,9.87*(1-0.04+0.14*R14)+R14^2))</f>
        <v>13.731585027614678</v>
      </c>
      <c r="U14" s="53">
        <f t="shared" si="5"/>
        <v>0.82916432799172646</v>
      </c>
      <c r="V14" s="32">
        <v>0.8</v>
      </c>
      <c r="W14" s="51">
        <f t="shared" si="6"/>
        <v>178.74472001573736</v>
      </c>
      <c r="X14" s="51">
        <f t="shared" si="7"/>
        <v>191.21951219512198</v>
      </c>
      <c r="Y14" s="54">
        <f t="shared" si="8"/>
        <v>0.93476192865372842</v>
      </c>
      <c r="Z14" s="34">
        <f t="shared" si="9"/>
        <v>0.21794871794871795</v>
      </c>
      <c r="AC14" s="58">
        <f t="shared" si="14"/>
        <v>13</v>
      </c>
      <c r="AD14" s="60">
        <f t="shared" si="10"/>
        <v>-1007.55</v>
      </c>
      <c r="AE14" s="58" t="str">
        <f t="shared" si="15"/>
        <v>2L160х12</v>
      </c>
      <c r="AF14" s="58">
        <v>1</v>
      </c>
      <c r="AG14" s="58">
        <v>2</v>
      </c>
      <c r="AH14" s="60">
        <f t="shared" si="11"/>
        <v>705.28499999999997</v>
      </c>
      <c r="AI14" s="58">
        <v>8</v>
      </c>
      <c r="AJ14" s="61">
        <f t="shared" si="12"/>
        <v>309.31076388888891</v>
      </c>
      <c r="AK14" s="60">
        <f t="shared" si="13"/>
        <v>302.26499999999999</v>
      </c>
      <c r="AL14" s="58">
        <v>6</v>
      </c>
      <c r="AM14" s="61">
        <f t="shared" si="16"/>
        <v>181.0347222222222</v>
      </c>
    </row>
    <row r="15" spans="3:39" ht="14.25" customHeight="1" x14ac:dyDescent="0.3">
      <c r="C15" s="68" t="s">
        <v>97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C15" s="85" t="str">
        <f t="shared" si="14"/>
        <v>Нижній пояс</v>
      </c>
      <c r="AD15" s="86"/>
      <c r="AE15" s="86"/>
      <c r="AF15" s="86"/>
      <c r="AG15" s="86"/>
      <c r="AH15" s="86"/>
      <c r="AI15" s="86"/>
      <c r="AJ15" s="86"/>
      <c r="AK15" s="86"/>
      <c r="AL15" s="86"/>
      <c r="AM15" s="87"/>
    </row>
    <row r="16" spans="3:39" x14ac:dyDescent="0.3">
      <c r="C16" s="32">
        <v>19</v>
      </c>
      <c r="D16" s="50">
        <v>0</v>
      </c>
      <c r="E16" s="51">
        <v>0</v>
      </c>
      <c r="F16" s="51">
        <v>273</v>
      </c>
      <c r="G16" s="32" t="s">
        <v>128</v>
      </c>
      <c r="H16" s="32" t="s">
        <v>78</v>
      </c>
      <c r="I16" s="34">
        <v>54.66</v>
      </c>
      <c r="J16" s="34">
        <v>3.84</v>
      </c>
      <c r="K16" s="34">
        <v>5.58</v>
      </c>
      <c r="L16" s="32">
        <v>1</v>
      </c>
      <c r="M16" s="32">
        <v>1</v>
      </c>
      <c r="N16" s="52">
        <f>F16*L16</f>
        <v>273</v>
      </c>
      <c r="O16" s="52">
        <f>F16*M16</f>
        <v>273</v>
      </c>
      <c r="P16" s="52">
        <f t="shared" ref="P16:Q18" si="17">N16/J16</f>
        <v>71.09375</v>
      </c>
      <c r="Q16" s="52">
        <f t="shared" si="17"/>
        <v>48.924731182795696</v>
      </c>
      <c r="R16" s="34">
        <f>MAX(P16:Q16)*SQRT($H$2/206000)</f>
        <v>2.4216920829727124</v>
      </c>
      <c r="S16" s="32">
        <f>IF(D16=0,400,200)</f>
        <v>400</v>
      </c>
      <c r="T16" s="34">
        <f>IF(D16=0,0,IF(H16="a",9.87*(1-0.03+0.06*R16)+R16^2,IF(H16="b",9.87*(1-0.04+0.09*R16)+R16^2,9.87*(1-0.04+0.14*R16)+R16^2)))</f>
        <v>0</v>
      </c>
      <c r="U16" s="53">
        <f>IF(D16=0,1,IF(AND(H16="a",R16&gt;3.8,0.5/(R16^2)*(T16-SQRT(T16^2-39.48*R16^2))&gt;7.6/(R16^2)),7.6/(R16^2),IF(AND(H16="b",R16&gt;4.4,0.5/(R16^2)*(T16-SQRT(T16^2-39.48*R16^2))&gt;7.6/(R16^2)),7.6/(R16^2),IF(AND(H16="c",R16&gt;5.8,0.5/(R16^2)*(T16-SQRT(T16^2-39.48*R16^2))&gt;7.6/(R16^2)),7.6/(R16^2),0.5/(R16^2)*(T16-SQRT(T16^2-39.48*R16^2))))))</f>
        <v>1</v>
      </c>
      <c r="V16" s="32">
        <v>1</v>
      </c>
      <c r="W16" s="51">
        <f>MAX(ABS(D16)*$O$2/I16/U16*10,E16*$O$2/I16*10)</f>
        <v>0</v>
      </c>
      <c r="X16" s="51">
        <f>$H$2*V16</f>
        <v>239.02439024390247</v>
      </c>
      <c r="Y16" s="34">
        <f>W16/X16</f>
        <v>0</v>
      </c>
      <c r="Z16" s="54">
        <f>MAX(P16,Q16)/S16</f>
        <v>0.177734375</v>
      </c>
      <c r="AC16" s="58">
        <f t="shared" si="14"/>
        <v>19</v>
      </c>
      <c r="AD16" s="60">
        <f>E16</f>
        <v>0</v>
      </c>
      <c r="AE16" s="58" t="str">
        <f t="shared" si="15"/>
        <v>2L140х10</v>
      </c>
      <c r="AF16" s="58">
        <v>1</v>
      </c>
      <c r="AG16" s="58">
        <v>2</v>
      </c>
      <c r="AH16" s="60">
        <f t="shared" si="11"/>
        <v>0</v>
      </c>
      <c r="AI16" s="58">
        <v>6</v>
      </c>
      <c r="AJ16" s="61">
        <f t="shared" si="12"/>
        <v>10</v>
      </c>
      <c r="AK16" s="60">
        <f t="shared" si="13"/>
        <v>0</v>
      </c>
      <c r="AL16" s="58">
        <v>6</v>
      </c>
      <c r="AM16" s="61">
        <f t="shared" si="16"/>
        <v>10</v>
      </c>
    </row>
    <row r="17" spans="3:39" x14ac:dyDescent="0.3">
      <c r="C17" s="32" t="s">
        <v>122</v>
      </c>
      <c r="D17" s="50">
        <v>0</v>
      </c>
      <c r="E17" s="51">
        <v>1086.45</v>
      </c>
      <c r="F17" s="51">
        <v>273</v>
      </c>
      <c r="G17" s="32" t="s">
        <v>128</v>
      </c>
      <c r="H17" s="32" t="s">
        <v>78</v>
      </c>
      <c r="I17" s="34">
        <v>54.66</v>
      </c>
      <c r="J17" s="34">
        <v>3.84</v>
      </c>
      <c r="K17" s="34">
        <v>5.58</v>
      </c>
      <c r="L17" s="32">
        <v>1</v>
      </c>
      <c r="M17" s="32">
        <v>2</v>
      </c>
      <c r="N17" s="52">
        <f>F17*L17</f>
        <v>273</v>
      </c>
      <c r="O17" s="52">
        <f>F17*M17</f>
        <v>546</v>
      </c>
      <c r="P17" s="52">
        <f t="shared" si="17"/>
        <v>71.09375</v>
      </c>
      <c r="Q17" s="52">
        <f t="shared" si="17"/>
        <v>97.849462365591393</v>
      </c>
      <c r="R17" s="34">
        <f>MAX(P17:Q17)*SQRT($H$2/206000)</f>
        <v>3.3330815765645934</v>
      </c>
      <c r="S17" s="32">
        <f>IF(D17=0,400,200)</f>
        <v>400</v>
      </c>
      <c r="T17" s="34">
        <f>IF(D17=0,0,IF(H17="a",9.87*(1-0.03+0.06*R17)+R17^2,IF(H17="b",9.87*(1-0.04+0.09*R17)+R17^2,9.87*(1-0.04+0.14*R17)+R17^2)))</f>
        <v>0</v>
      </c>
      <c r="U17" s="53">
        <f>IF(D17=0,1,IF(AND(H17="a",R17&gt;3.8,0.5/(R17^2)*(T17-SQRT(T17^2-39.48*R17^2))&gt;7.6/(R17^2)),7.6/(R17^2),IF(AND(H17="b",R17&gt;4.4,0.5/(R17^2)*(T17-SQRT(T17^2-39.48*R17^2))&gt;7.6/(R17^2)),7.6/(R17^2),IF(AND(H17="c",R17&gt;5.8,0.5/(R17^2)*(T17-SQRT(T17^2-39.48*R17^2))&gt;7.6/(R17^2)),7.6/(R17^2),0.5/(R17^2)*(T17-SQRT(T17^2-39.48*R17^2))))))</f>
        <v>1</v>
      </c>
      <c r="V17" s="32">
        <v>1</v>
      </c>
      <c r="W17" s="51">
        <f>MAX(ABS(D17)*$O$2/I17/U17*10,E17*$O$2/I17*10)</f>
        <v>218.64160263446766</v>
      </c>
      <c r="X17" s="51">
        <f>$H$2*V17</f>
        <v>239.02439024390247</v>
      </c>
      <c r="Y17" s="54">
        <f>W17/X17</f>
        <v>0.91472507224624211</v>
      </c>
      <c r="Z17" s="34">
        <f>MAX(P17,Q17)/S17</f>
        <v>0.24462365591397847</v>
      </c>
      <c r="AC17" s="58" t="str">
        <f t="shared" si="14"/>
        <v>20, 21</v>
      </c>
      <c r="AD17" s="60">
        <f>E17</f>
        <v>1086.45</v>
      </c>
      <c r="AE17" s="58" t="str">
        <f t="shared" ref="AE17:AE18" si="18">G17</f>
        <v>2L140х10</v>
      </c>
      <c r="AF17" s="58">
        <v>1</v>
      </c>
      <c r="AG17" s="58">
        <v>2</v>
      </c>
      <c r="AH17" s="60">
        <f t="shared" ref="AH17:AH18" si="19">0.7*ABS(AD17)</f>
        <v>760.51499999999999</v>
      </c>
      <c r="AI17" s="58">
        <v>8</v>
      </c>
      <c r="AJ17" s="61">
        <f t="shared" ref="AJ17:AJ18" si="20">IF($AG$2="у площині металу шва",AH17*$O$2/(AG17*$AC$2*AI17*$AE$2)*1000+10,AH17*$O$2/(AG17*$AD$2*AI17*0.45*$AF$2)*1000+10)</f>
        <v>332.7494212962963</v>
      </c>
      <c r="AK17" s="60">
        <f t="shared" ref="AK17:AK18" si="21">0.3*ABS(AD17)</f>
        <v>325.935</v>
      </c>
      <c r="AL17" s="58">
        <v>6</v>
      </c>
      <c r="AM17" s="61">
        <f t="shared" ref="AM17:AM18" si="22">IF($AG$2="у площині металу шва",AK17*$O$2/(AG17*$AC$2*AL17*$AE$2)*1000+10,AK17*$O$2/(AG17*$AD$2*AL17*0.45*$AF$2)*1000+10)</f>
        <v>194.4282407407407</v>
      </c>
    </row>
    <row r="18" spans="3:39" x14ac:dyDescent="0.3">
      <c r="C18" s="32" t="s">
        <v>123</v>
      </c>
      <c r="D18" s="50">
        <v>0</v>
      </c>
      <c r="E18" s="51">
        <v>1128.23</v>
      </c>
      <c r="F18" s="51">
        <v>273</v>
      </c>
      <c r="G18" s="32" t="s">
        <v>128</v>
      </c>
      <c r="H18" s="32" t="s">
        <v>78</v>
      </c>
      <c r="I18" s="34">
        <v>54.66</v>
      </c>
      <c r="J18" s="34">
        <v>3.84</v>
      </c>
      <c r="K18" s="34">
        <v>5.58</v>
      </c>
      <c r="L18" s="32">
        <v>1</v>
      </c>
      <c r="M18" s="32">
        <v>2</v>
      </c>
      <c r="N18" s="52">
        <f>F18*L18</f>
        <v>273</v>
      </c>
      <c r="O18" s="52">
        <f>F18*M18</f>
        <v>546</v>
      </c>
      <c r="P18" s="52">
        <f t="shared" si="17"/>
        <v>71.09375</v>
      </c>
      <c r="Q18" s="52">
        <f t="shared" si="17"/>
        <v>97.849462365591393</v>
      </c>
      <c r="R18" s="34">
        <f>MAX(P18:Q18)*SQRT($H$2/206000)</f>
        <v>3.3330815765645934</v>
      </c>
      <c r="S18" s="32">
        <f>IF(D18=0,400,200)</f>
        <v>400</v>
      </c>
      <c r="T18" s="34">
        <f>IF(D18=0,0,IF(H18="a",9.87*(1-0.03+0.06*R18)+R18^2,IF(H18="b",9.87*(1-0.04+0.09*R18)+R18^2,9.87*(1-0.04+0.14*R18)+R18^2)))</f>
        <v>0</v>
      </c>
      <c r="U18" s="53">
        <f>IF(D18=0,1,IF(AND(H18="a",R18&gt;3.8,0.5/(R18^2)*(T18-SQRT(T18^2-39.48*R18^2))&gt;7.6/(R18^2)),7.6/(R18^2),IF(AND(H18="b",R18&gt;4.4,0.5/(R18^2)*(T18-SQRT(T18^2-39.48*R18^2))&gt;7.6/(R18^2)),7.6/(R18^2),IF(AND(H18="c",R18&gt;5.8,0.5/(R18^2)*(T18-SQRT(T18^2-39.48*R18^2))&gt;7.6/(R18^2)),7.6/(R18^2),0.5/(R18^2)*(T18-SQRT(T18^2-39.48*R18^2))))))</f>
        <v>1</v>
      </c>
      <c r="V18" s="32">
        <v>1</v>
      </c>
      <c r="W18" s="51">
        <f>MAX(ABS(D18)*$O$2/I18/U18*10,E18*$O$2/I18*10)</f>
        <v>227.04957921697772</v>
      </c>
      <c r="X18" s="51">
        <f>$H$2*V18</f>
        <v>239.02439024390247</v>
      </c>
      <c r="Y18" s="54">
        <f>W18/X18</f>
        <v>0.94990130080572299</v>
      </c>
      <c r="Z18" s="34">
        <f>MAX(P18,Q18)/S18</f>
        <v>0.24462365591397847</v>
      </c>
      <c r="AC18" s="58" t="str">
        <f t="shared" si="14"/>
        <v>22, 23</v>
      </c>
      <c r="AD18" s="60">
        <f>E18</f>
        <v>1128.23</v>
      </c>
      <c r="AE18" s="58" t="str">
        <f t="shared" si="18"/>
        <v>2L140х10</v>
      </c>
      <c r="AF18" s="58">
        <v>1</v>
      </c>
      <c r="AG18" s="58">
        <v>2</v>
      </c>
      <c r="AH18" s="60">
        <f t="shared" si="19"/>
        <v>789.76099999999997</v>
      </c>
      <c r="AI18" s="58">
        <v>8</v>
      </c>
      <c r="AJ18" s="61">
        <f t="shared" si="20"/>
        <v>345.16091820987657</v>
      </c>
      <c r="AK18" s="60">
        <f t="shared" si="21"/>
        <v>338.46899999999999</v>
      </c>
      <c r="AL18" s="58">
        <v>6</v>
      </c>
      <c r="AM18" s="61">
        <f t="shared" si="22"/>
        <v>201.52052469135799</v>
      </c>
    </row>
    <row r="19" spans="3:39" x14ac:dyDescent="0.3">
      <c r="C19" s="68" t="s">
        <v>99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C19" s="85" t="s">
        <v>99</v>
      </c>
      <c r="AD19" s="86"/>
      <c r="AE19" s="86"/>
      <c r="AF19" s="86"/>
      <c r="AG19" s="86"/>
      <c r="AH19" s="86"/>
      <c r="AI19" s="86"/>
      <c r="AJ19" s="86"/>
      <c r="AK19" s="86"/>
      <c r="AL19" s="86"/>
      <c r="AM19" s="87"/>
    </row>
    <row r="20" spans="3:39" x14ac:dyDescent="0.3">
      <c r="C20" s="32">
        <v>5</v>
      </c>
      <c r="D20" s="50">
        <v>-447.8</v>
      </c>
      <c r="E20" s="51">
        <v>0</v>
      </c>
      <c r="F20" s="51">
        <v>183.1</v>
      </c>
      <c r="G20" s="32" t="s">
        <v>127</v>
      </c>
      <c r="H20" s="32" t="s">
        <v>78</v>
      </c>
      <c r="I20" s="32">
        <v>34.4</v>
      </c>
      <c r="J20" s="32">
        <v>3.4</v>
      </c>
      <c r="K20" s="32">
        <v>4.95</v>
      </c>
      <c r="L20" s="32">
        <v>0.8</v>
      </c>
      <c r="M20" s="32">
        <v>1</v>
      </c>
      <c r="N20" s="52">
        <f>F20*L20</f>
        <v>146.47999999999999</v>
      </c>
      <c r="O20" s="52">
        <f>F20*M20</f>
        <v>183.1</v>
      </c>
      <c r="P20" s="52">
        <f t="shared" ref="P20:Q23" si="23">N20/J20</f>
        <v>43.082352941176467</v>
      </c>
      <c r="Q20" s="52">
        <f t="shared" si="23"/>
        <v>36.98989898989899</v>
      </c>
      <c r="R20" s="34">
        <f>MAX(P20:Q20)*SQRT($H$2/206000)</f>
        <v>1.4675297481632803</v>
      </c>
      <c r="S20" s="32">
        <f>IF(D20=0,400,200)</f>
        <v>200</v>
      </c>
      <c r="T20" s="34">
        <f>IF(D20=0,0,IF(H20="a",9.87*(1-0.03+0.06*R20)+R20^2,IF(H20="b",9.87*(1-0.04+0.09*R20)+R20^2,9.87*(1-0.04+0.14*R20)+R20^2)))</f>
        <v>13.656676167756201</v>
      </c>
      <c r="U20" s="53">
        <f>IF(D20=0,1,IF(AND(H20="a",R20&gt;3.8,0.5/(R20^2)*(T20-SQRT(T20^2-39.48*R20^2))&gt;7.6/(R20^2)),7.6/(R20^2),IF(AND(H20="b",R20&gt;4.4,0.5/(R20^2)*(T20-SQRT(T20^2-39.48*R20^2))&gt;7.6/(R20^2)),7.6/(R20^2),IF(AND(H20="c",R20&gt;5.8,0.5/(R20^2)*(T20-SQRT(T20^2-39.48*R20^2))&gt;7.6/(R20^2)),7.6/(R20^2),0.5/(R20^2)*(T20-SQRT(T20^2-39.48*R20^2))))))</f>
        <v>0.83184604808897045</v>
      </c>
      <c r="V20" s="32">
        <v>0.8</v>
      </c>
      <c r="W20" s="51">
        <f>MAX(ABS(D20)*$O$2/I20/U20*10,E20*$O$2/I20*10)</f>
        <v>172.13745355174322</v>
      </c>
      <c r="X20" s="51">
        <f>$H$2*V20</f>
        <v>191.21951219512198</v>
      </c>
      <c r="Y20" s="54">
        <f>W20/X20</f>
        <v>0.90020862189049378</v>
      </c>
      <c r="Z20" s="34">
        <f>MAX(P20,Q20)/S20</f>
        <v>0.21541176470588233</v>
      </c>
      <c r="AC20" s="58">
        <f t="shared" si="14"/>
        <v>5</v>
      </c>
      <c r="AD20" s="60">
        <f>D20</f>
        <v>-447.8</v>
      </c>
      <c r="AE20" s="58" t="str">
        <f>G20</f>
        <v>2L110х8</v>
      </c>
      <c r="AF20" s="58">
        <v>1</v>
      </c>
      <c r="AG20" s="58">
        <v>2</v>
      </c>
      <c r="AH20" s="60">
        <f>0.7*ABS(AD20)</f>
        <v>313.45999999999998</v>
      </c>
      <c r="AI20" s="58">
        <v>8</v>
      </c>
      <c r="AJ20" s="61">
        <f t="shared" ref="AJ20" si="24">IF($AG$2="у площині металу шва",AH20*$O$2/(AG20*$AC$2*AI20*$AE$2)*1000+10,AH20*$O$2/(AG20*$AD$2*AI20*0.45*$AF$2)*1000+10)</f>
        <v>143.02700617283949</v>
      </c>
      <c r="AK20" s="60">
        <f>0.3*ABS(AD20)</f>
        <v>134.34</v>
      </c>
      <c r="AL20" s="58">
        <v>6</v>
      </c>
      <c r="AM20" s="61">
        <f t="shared" si="16"/>
        <v>86.01543209876543</v>
      </c>
    </row>
    <row r="21" spans="3:39" ht="26.4" x14ac:dyDescent="0.3">
      <c r="C21" s="32" t="s">
        <v>126</v>
      </c>
      <c r="D21" s="50">
        <v>-89.56</v>
      </c>
      <c r="E21" s="51">
        <v>0</v>
      </c>
      <c r="F21" s="51">
        <v>183.1</v>
      </c>
      <c r="G21" s="32" t="s">
        <v>98</v>
      </c>
      <c r="H21" s="32" t="s">
        <v>78</v>
      </c>
      <c r="I21" s="32">
        <v>11.38</v>
      </c>
      <c r="J21" s="32">
        <v>1.5149999999999999</v>
      </c>
      <c r="K21" s="32">
        <v>2.556</v>
      </c>
      <c r="L21" s="32">
        <v>0.8</v>
      </c>
      <c r="M21" s="32">
        <v>1</v>
      </c>
      <c r="N21" s="52">
        <f>F21*L21</f>
        <v>146.47999999999999</v>
      </c>
      <c r="O21" s="52">
        <f>F21*M21</f>
        <v>183.1</v>
      </c>
      <c r="P21" s="52">
        <f t="shared" si="23"/>
        <v>96.686468646864682</v>
      </c>
      <c r="Q21" s="52">
        <f t="shared" si="23"/>
        <v>71.635367762128325</v>
      </c>
      <c r="R21" s="34">
        <f>MAX(P21:Q21)*SQRT($H$2/206000)</f>
        <v>3.29346610148855</v>
      </c>
      <c r="S21" s="32">
        <f>IF(D21=0,400,200)</f>
        <v>200</v>
      </c>
      <c r="T21" s="34">
        <f>IF(D21=0,0,IF(H21="a",9.87*(1-0.03+0.06*R21)+R21^2,IF(H21="b",9.87*(1-0.04+0.09*R21)+R21^2,9.87*(1-0.04+0.14*R21)+R21^2)))</f>
        <v>24.873030420691066</v>
      </c>
      <c r="U21" s="53">
        <f>IF(D21=0,1,IF(AND(H21="a",R21&gt;3.8,0.5/(R21^2)*(T21-SQRT(T21^2-39.48*R21^2))&gt;7.6/(R21^2)),7.6/(R21^2),IF(AND(H21="b",R21&gt;4.4,0.5/(R21^2)*(T21-SQRT(T21^2-39.48*R21^2))&gt;7.6/(R21^2)),7.6/(R21^2),IF(AND(H21="c",R21&gt;5.8,0.5/(R21^2)*(T21-SQRT(T21^2-39.48*R21^2))&gt;7.6/(R21^2)),7.6/(R21^2),0.5/(R21^2)*(T21-SQRT(T21^2-39.48*R21^2))))))</f>
        <v>0.51043740364412615</v>
      </c>
      <c r="V21" s="32">
        <v>0.8</v>
      </c>
      <c r="W21" s="51">
        <f>MAX(ABS(D21)*$O$2/I21/U21*10,E21*$O$2/I21*10)</f>
        <v>169.59850398327208</v>
      </c>
      <c r="X21" s="51">
        <f>$H$2*V21</f>
        <v>191.21951219512198</v>
      </c>
      <c r="Y21" s="54">
        <f>W21/X21</f>
        <v>0.88693095195333604</v>
      </c>
      <c r="Z21" s="34">
        <f>MAX(P21,Q21)/S21</f>
        <v>0.48343234323432344</v>
      </c>
      <c r="AC21" s="58" t="str">
        <f t="shared" ref="AC21:AC23" si="25">C21</f>
        <v>29, 31, 33</v>
      </c>
      <c r="AD21" s="60">
        <f t="shared" ref="AD21:AD23" si="26">D21</f>
        <v>-89.56</v>
      </c>
      <c r="AE21" s="58" t="str">
        <f t="shared" ref="AE21:AE23" si="27">G21</f>
        <v>2L50х6</v>
      </c>
      <c r="AF21" s="58">
        <v>1</v>
      </c>
      <c r="AG21" s="58">
        <v>2</v>
      </c>
      <c r="AH21" s="60">
        <f t="shared" ref="AH21:AH23" si="28">0.7*ABS(AD21)</f>
        <v>62.692</v>
      </c>
      <c r="AI21" s="58">
        <v>6</v>
      </c>
      <c r="AJ21" s="61">
        <f t="shared" ref="AJ21:AJ23" si="29">IF($AG$2="у площині металу шва",AH21*$O$2/(AG21*$AC$2*AI21*$AE$2)*1000+10,AH21*$O$2/(AG21*$AD$2*AI21*0.45*$AF$2)*1000+10)</f>
        <v>45.473868312757197</v>
      </c>
      <c r="AK21" s="60">
        <f t="shared" ref="AK21:AK23" si="30">0.3*ABS(AD21)</f>
        <v>26.867999999999999</v>
      </c>
      <c r="AL21" s="58">
        <v>5</v>
      </c>
      <c r="AM21" s="61">
        <f t="shared" ref="AM21:AM23" si="31">IF($AG$2="у площині металу шва",AK21*$O$2/(AG21*$AC$2*AL21*$AE$2)*1000+10,AK21*$O$2/(AG21*$AD$2*AL21*0.45*$AF$2)*1000+10)</f>
        <v>28.243703703703702</v>
      </c>
    </row>
    <row r="22" spans="3:39" ht="18.75" customHeight="1" x14ac:dyDescent="0.3">
      <c r="C22" s="32">
        <v>41</v>
      </c>
      <c r="D22" s="50">
        <v>-335.08</v>
      </c>
      <c r="E22" s="51">
        <v>0</v>
      </c>
      <c r="F22" s="51">
        <v>183.1</v>
      </c>
      <c r="G22" s="32" t="s">
        <v>127</v>
      </c>
      <c r="H22" s="32" t="s">
        <v>78</v>
      </c>
      <c r="I22" s="32">
        <v>34.4</v>
      </c>
      <c r="J22" s="32">
        <v>3.4</v>
      </c>
      <c r="K22" s="32">
        <v>4.95</v>
      </c>
      <c r="L22" s="32">
        <v>0.8</v>
      </c>
      <c r="M22" s="32">
        <v>1</v>
      </c>
      <c r="N22" s="52">
        <f>F22*L22</f>
        <v>146.47999999999999</v>
      </c>
      <c r="O22" s="52">
        <f>F22*M22</f>
        <v>183.1</v>
      </c>
      <c r="P22" s="52">
        <f t="shared" si="23"/>
        <v>43.082352941176467</v>
      </c>
      <c r="Q22" s="52">
        <f t="shared" si="23"/>
        <v>36.98989898989899</v>
      </c>
      <c r="R22" s="34">
        <f>MAX(P22:Q22)*SQRT($H$2/206000)</f>
        <v>1.4675297481632803</v>
      </c>
      <c r="S22" s="32">
        <f>IF(D22=0,400,200)</f>
        <v>200</v>
      </c>
      <c r="T22" s="34">
        <f>IF(D22=0,0,IF(H22="a",9.87*(1-0.03+0.06*R22)+R22^2,IF(H22="b",9.87*(1-0.04+0.09*R22)+R22^2,9.87*(1-0.04+0.14*R22)+R22^2)))</f>
        <v>13.656676167756201</v>
      </c>
      <c r="U22" s="53">
        <f>IF(D22=0,1,IF(AND(H22="a",R22&gt;3.8,0.5/(R22^2)*(T22-SQRT(T22^2-39.48*R22^2))&gt;7.6/(R22^2)),7.6/(R22^2),IF(AND(H22="b",R22&gt;4.4,0.5/(R22^2)*(T22-SQRT(T22^2-39.48*R22^2))&gt;7.6/(R22^2)),7.6/(R22^2),IF(AND(H22="c",R22&gt;5.8,0.5/(R22^2)*(T22-SQRT(T22^2-39.48*R22^2))&gt;7.6/(R22^2)),7.6/(R22^2),0.5/(R22^2)*(T22-SQRT(T22^2-39.48*R22^2))))))</f>
        <v>0.83184604808897045</v>
      </c>
      <c r="V22" s="32">
        <v>0.8</v>
      </c>
      <c r="W22" s="51">
        <f>MAX(ABS(D22)*$O$2/I22/U22*10,E22*$O$2/I22*10)</f>
        <v>128.80709677560989</v>
      </c>
      <c r="X22" s="51">
        <f>$H$2*V22</f>
        <v>191.21951219512198</v>
      </c>
      <c r="Y22" s="54">
        <f>W22/X22</f>
        <v>0.67360854181122509</v>
      </c>
      <c r="Z22" s="34">
        <f>MAX(P22,Q22)/S22</f>
        <v>0.21541176470588233</v>
      </c>
      <c r="AC22" s="58">
        <f t="shared" si="25"/>
        <v>41</v>
      </c>
      <c r="AD22" s="60">
        <f t="shared" si="26"/>
        <v>-335.08</v>
      </c>
      <c r="AE22" s="58" t="str">
        <f t="shared" si="27"/>
        <v>2L110х8</v>
      </c>
      <c r="AF22" s="58">
        <v>1</v>
      </c>
      <c r="AG22" s="58">
        <v>2</v>
      </c>
      <c r="AH22" s="60">
        <f t="shared" si="28"/>
        <v>234.55599999999998</v>
      </c>
      <c r="AI22" s="58">
        <v>8</v>
      </c>
      <c r="AJ22" s="61">
        <f t="shared" si="29"/>
        <v>109.54151234567901</v>
      </c>
      <c r="AK22" s="60">
        <f t="shared" si="30"/>
        <v>100.52399999999999</v>
      </c>
      <c r="AL22" s="58">
        <v>5</v>
      </c>
      <c r="AM22" s="61">
        <f t="shared" si="31"/>
        <v>78.257037037037037</v>
      </c>
    </row>
    <row r="23" spans="3:39" ht="16.5" customHeight="1" x14ac:dyDescent="0.3">
      <c r="C23" s="32">
        <v>38</v>
      </c>
      <c r="D23" s="50">
        <v>-162.19999999999999</v>
      </c>
      <c r="E23" s="51">
        <v>0</v>
      </c>
      <c r="F23" s="51">
        <v>183.1</v>
      </c>
      <c r="G23" s="32" t="s">
        <v>131</v>
      </c>
      <c r="H23" s="32" t="s">
        <v>78</v>
      </c>
      <c r="I23" s="32">
        <v>14.56</v>
      </c>
      <c r="J23" s="32">
        <v>1.93</v>
      </c>
      <c r="K23" s="32">
        <v>3.06</v>
      </c>
      <c r="L23" s="32">
        <v>0.8</v>
      </c>
      <c r="M23" s="32">
        <v>1</v>
      </c>
      <c r="N23" s="52">
        <f>F23*L23</f>
        <v>146.47999999999999</v>
      </c>
      <c r="O23" s="52">
        <f>F23*M23</f>
        <v>183.1</v>
      </c>
      <c r="P23" s="52">
        <f t="shared" si="23"/>
        <v>75.896373056994818</v>
      </c>
      <c r="Q23" s="52">
        <f t="shared" si="23"/>
        <v>59.83660130718954</v>
      </c>
      <c r="R23" s="34">
        <f>MAX(P23:Q23)*SQRT($H$2/206000)</f>
        <v>2.5852855667125145</v>
      </c>
      <c r="S23" s="32">
        <f>IF(D23=0,400,200)</f>
        <v>200</v>
      </c>
      <c r="T23" s="34">
        <f>IF(D23=0,0,IF(H23="a",9.87*(1-0.03+0.06*R23)+R23^2,IF(H23="b",9.87*(1-0.04+0.09*R23)+R23^2,9.87*(1-0.04+0.14*R23)+R23^2)))</f>
        <v>19.7312490575354</v>
      </c>
      <c r="U23" s="53">
        <f>IF(D23=0,1,IF(AND(H23="a",R23&gt;3.8,0.5/(R23^2)*(T23-SQRT(T23^2-39.48*R23^2))&gt;7.6/(R23^2)),7.6/(R23^2),IF(AND(H23="b",R23&gt;4.4,0.5/(R23^2)*(T23-SQRT(T23^2-39.48*R23^2))&gt;7.6/(R23^2)),7.6/(R23^2),IF(AND(H23="c",R23&gt;5.8,0.5/(R23^2)*(T23-SQRT(T23^2-39.48*R23^2))&gt;7.6/(R23^2)),7.6/(R23^2),0.5/(R23^2)*(T23-SQRT(T23^2-39.48*R23^2))))))</f>
        <v>0.63818065919231159</v>
      </c>
      <c r="V23" s="32">
        <v>0.8</v>
      </c>
      <c r="W23" s="51">
        <f>MAX(ABS(D23)*$O$2/I23/U23*10,E23*$O$2/I23*10)</f>
        <v>192.01648784890833</v>
      </c>
      <c r="X23" s="51">
        <f>$H$2*V23</f>
        <v>191.21951219512198</v>
      </c>
      <c r="Y23" s="54">
        <f>W23/X23</f>
        <v>1.0041678573731174</v>
      </c>
      <c r="Z23" s="34">
        <f>MAX(P23,Q23)/S23</f>
        <v>0.37948186528497407</v>
      </c>
      <c r="AC23" s="58">
        <f t="shared" si="25"/>
        <v>38</v>
      </c>
      <c r="AD23" s="60">
        <f t="shared" si="26"/>
        <v>-162.19999999999999</v>
      </c>
      <c r="AE23" s="58" t="str">
        <f t="shared" si="27"/>
        <v>2L63х6</v>
      </c>
      <c r="AF23" s="58">
        <v>1</v>
      </c>
      <c r="AG23" s="58">
        <v>2</v>
      </c>
      <c r="AH23" s="60">
        <f t="shared" si="28"/>
        <v>113.53999999999998</v>
      </c>
      <c r="AI23" s="58">
        <v>6</v>
      </c>
      <c r="AJ23" s="61">
        <f t="shared" si="29"/>
        <v>74.245884773662539</v>
      </c>
      <c r="AK23" s="60">
        <f t="shared" si="30"/>
        <v>48.66</v>
      </c>
      <c r="AL23" s="58">
        <v>5</v>
      </c>
      <c r="AM23" s="61">
        <f t="shared" si="31"/>
        <v>43.040740740740745</v>
      </c>
    </row>
    <row r="24" spans="3:39" ht="16.5" customHeight="1" x14ac:dyDescent="0.3">
      <c r="C24" s="69" t="s">
        <v>100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  <c r="AC24" s="85" t="s">
        <v>100</v>
      </c>
      <c r="AD24" s="86"/>
      <c r="AE24" s="86"/>
      <c r="AF24" s="86"/>
      <c r="AG24" s="86"/>
      <c r="AH24" s="86"/>
      <c r="AI24" s="86"/>
      <c r="AJ24" s="86"/>
      <c r="AK24" s="86"/>
      <c r="AL24" s="86"/>
      <c r="AM24" s="87"/>
    </row>
    <row r="25" spans="3:39" ht="15" customHeight="1" x14ac:dyDescent="0.3">
      <c r="C25" s="32">
        <v>42</v>
      </c>
      <c r="D25" s="50">
        <v>0</v>
      </c>
      <c r="E25" s="50">
        <v>875.53</v>
      </c>
      <c r="F25" s="51">
        <v>156.6</v>
      </c>
      <c r="G25" s="32" t="s">
        <v>128</v>
      </c>
      <c r="H25" s="32" t="s">
        <v>78</v>
      </c>
      <c r="I25" s="34">
        <v>54.66</v>
      </c>
      <c r="J25" s="34">
        <v>3.84</v>
      </c>
      <c r="K25" s="34">
        <v>5.58</v>
      </c>
      <c r="L25" s="32">
        <v>1</v>
      </c>
      <c r="M25" s="32">
        <v>1</v>
      </c>
      <c r="N25" s="52">
        <f>F25*L25</f>
        <v>156.6</v>
      </c>
      <c r="O25" s="52">
        <f>F25*M25</f>
        <v>156.6</v>
      </c>
      <c r="P25" s="52">
        <f t="shared" ref="P25:Q27" si="32">N25/J25</f>
        <v>40.78125</v>
      </c>
      <c r="Q25" s="52">
        <f t="shared" si="32"/>
        <v>28.064516129032256</v>
      </c>
      <c r="R25" s="34">
        <f>MAX(P25:Q25)*SQRT($H$2/206000)</f>
        <v>1.3891464475953361</v>
      </c>
      <c r="S25" s="32">
        <f>IF(D25=0,400,200)</f>
        <v>400</v>
      </c>
      <c r="T25" s="34">
        <f>IF(D25=0,0,IF(H25="a",9.87*(1-0.03+0.06*R25)+R25^2,IF(H25="b",9.87*(1-0.04+0.09*R25)+R25^2,9.87*(1-0.04+0.14*R25)+R25^2)))</f>
        <v>0</v>
      </c>
      <c r="U25" s="53">
        <f>IF(D25=0,1,IF(AND(H25="a",R25&gt;3.8,0.5/(R25^2)*(T25-SQRT(T25^2-39.48*R25^2))&gt;7.6/(R25^2)),7.6/(R25^2),IF(AND(H25="b",R25&gt;4.4,0.5/(R25^2)*(T25-SQRT(T25^2-39.48*R25^2))&gt;7.6/(R25^2)),7.6/(R25^2),IF(AND(H25="c",R25&gt;5.8,0.5/(R25^2)*(T25-SQRT(T25^2-39.48*R25^2))&gt;7.6/(R25^2)),7.6/(R25^2),0.5/(R25^2)*(T25-SQRT(T25^2-39.48*R25^2))))))</f>
        <v>1</v>
      </c>
      <c r="V25" s="32">
        <v>1</v>
      </c>
      <c r="W25" s="51">
        <f>MAX(ABS(D25)*$O$2/I25/U25*10,E25*$O$2/I25*10)</f>
        <v>176.19520673252839</v>
      </c>
      <c r="X25" s="51">
        <f>$H$2*V25</f>
        <v>239.02439024390247</v>
      </c>
      <c r="Y25" s="54">
        <f>W25/X25</f>
        <v>0.73714321184016973</v>
      </c>
      <c r="Z25" s="34">
        <f>MAX(P25,Q25)/S25</f>
        <v>0.10195312500000001</v>
      </c>
      <c r="AC25" s="58">
        <f t="shared" ref="AC25" si="33">C25</f>
        <v>42</v>
      </c>
      <c r="AD25" s="60">
        <f>E25</f>
        <v>875.53</v>
      </c>
      <c r="AE25" s="58" t="str">
        <f>G25</f>
        <v>2L140х10</v>
      </c>
      <c r="AF25" s="58">
        <v>1</v>
      </c>
      <c r="AG25" s="58">
        <v>2</v>
      </c>
      <c r="AH25" s="60">
        <f t="shared" ref="AH25" si="34">0.7*ABS(AD25)</f>
        <v>612.87099999999998</v>
      </c>
      <c r="AI25" s="58">
        <v>8</v>
      </c>
      <c r="AJ25" s="61">
        <f t="shared" ref="AJ25" si="35">IF($AG$2="у площині металу шва",AH25*$O$2/(AG25*$AC$2*AI25*$AE$2)*1000+10,AH25*$O$2/(AG25*$AD$2*AI25*0.45*$AF$2)*1000+10)</f>
        <v>270.09185956790122</v>
      </c>
      <c r="AK25" s="60">
        <f t="shared" ref="AK25" si="36">0.3*ABS(AD25)</f>
        <v>262.65899999999999</v>
      </c>
      <c r="AL25" s="58">
        <v>6</v>
      </c>
      <c r="AM25" s="61">
        <f t="shared" ref="AM25" si="37">IF($AG$2="у площині металу шва",AK25*$O$2/(AG25*$AC$2*AL25*$AE$2)*1000+10,AK25*$O$2/(AG25*$AD$2*AL25*0.45*$AF$2)*1000+10)</f>
        <v>158.62391975308643</v>
      </c>
    </row>
    <row r="26" spans="3:39" ht="15.75" customHeight="1" x14ac:dyDescent="0.3">
      <c r="C26" s="32">
        <v>40</v>
      </c>
      <c r="D26" s="50">
        <v>0</v>
      </c>
      <c r="E26" s="50">
        <v>102.4</v>
      </c>
      <c r="F26" s="51">
        <v>183.1</v>
      </c>
      <c r="G26" s="32" t="s">
        <v>98</v>
      </c>
      <c r="H26" s="32" t="s">
        <v>78</v>
      </c>
      <c r="I26" s="32">
        <v>11.38</v>
      </c>
      <c r="J26" s="32">
        <v>1.5149999999999999</v>
      </c>
      <c r="K26" s="32">
        <v>2.556</v>
      </c>
      <c r="L26" s="32">
        <v>0.8</v>
      </c>
      <c r="M26" s="32">
        <v>1</v>
      </c>
      <c r="N26" s="52">
        <f>F26*L26</f>
        <v>146.47999999999999</v>
      </c>
      <c r="O26" s="52">
        <f>F26*M26</f>
        <v>183.1</v>
      </c>
      <c r="P26" s="52">
        <f t="shared" si="32"/>
        <v>96.686468646864682</v>
      </c>
      <c r="Q26" s="52">
        <f t="shared" si="32"/>
        <v>71.635367762128325</v>
      </c>
      <c r="R26" s="34">
        <f>MAX(P26:Q26)*SQRT($H$2/206000)</f>
        <v>3.29346610148855</v>
      </c>
      <c r="S26" s="32">
        <f>IF(D26=0,400,200)</f>
        <v>400</v>
      </c>
      <c r="T26" s="34">
        <f>IF(D26=0,0,IF(H26="a",9.87*(1-0.03+0.06*R26)+R26^2,IF(H26="b",9.87*(1-0.04+0.09*R26)+R26^2,9.87*(1-0.04+0.14*R26)+R26^2)))</f>
        <v>0</v>
      </c>
      <c r="U26" s="53">
        <f>IF(D26=0,1,IF(AND(H26="a",R26&gt;3.8,0.5/(R26^2)*(T26-SQRT(T26^2-39.48*R26^2))&gt;7.6/(R26^2)),7.6/(R26^2),IF(AND(H26="b",R26&gt;4.4,0.5/(R26^2)*(T26-SQRT(T26^2-39.48*R26^2))&gt;7.6/(R26^2)),7.6/(R26^2),IF(AND(H26="c",R26&gt;5.8,0.5/(R26^2)*(T26-SQRT(T26^2-39.48*R26^2))&gt;7.6/(R26^2)),7.6/(R26^2),0.5/(R26^2)*(T26-SQRT(T26^2-39.48*R26^2))))))</f>
        <v>1</v>
      </c>
      <c r="V26" s="32">
        <v>1</v>
      </c>
      <c r="W26" s="51">
        <f>MAX(ABS(D26)*$O$2/I26/U26*10,E26*$O$2/I26*10)</f>
        <v>98.98066783831284</v>
      </c>
      <c r="X26" s="51">
        <f>$H$2*V26</f>
        <v>239.02439024390247</v>
      </c>
      <c r="Y26" s="34">
        <f>W26/X26</f>
        <v>0.41410279401743122</v>
      </c>
      <c r="Z26" s="54">
        <f>MAX(P26,Q26)/S26</f>
        <v>0.24171617161716172</v>
      </c>
      <c r="AC26" s="58">
        <f t="shared" ref="AC26:AC27" si="38">C26</f>
        <v>40</v>
      </c>
      <c r="AD26" s="60">
        <f>E26</f>
        <v>102.4</v>
      </c>
      <c r="AE26" s="58" t="str">
        <f t="shared" ref="AE26:AE27" si="39">G26</f>
        <v>2L50х6</v>
      </c>
      <c r="AF26" s="58">
        <v>1</v>
      </c>
      <c r="AG26" s="58">
        <v>2</v>
      </c>
      <c r="AH26" s="60">
        <f t="shared" ref="AH26:AH27" si="40">0.7*ABS(AD26)</f>
        <v>71.679999999999993</v>
      </c>
      <c r="AI26" s="58">
        <v>6</v>
      </c>
      <c r="AJ26" s="61">
        <f t="shared" ref="AJ26:AJ27" si="41">IF($AG$2="у площині металу шва",AH26*$O$2/(AG26*$AC$2*AI26*$AE$2)*1000+10,AH26*$O$2/(AG26*$AD$2*AI26*0.45*$AF$2)*1000+10)</f>
        <v>50.559670781893004</v>
      </c>
      <c r="AK26" s="60">
        <f t="shared" ref="AK26:AK27" si="42">0.3*ABS(AD26)</f>
        <v>30.72</v>
      </c>
      <c r="AL26" s="58">
        <v>5</v>
      </c>
      <c r="AM26" s="61">
        <f t="shared" ref="AM26:AM27" si="43">IF($AG$2="у площині металу шва",AK26*$O$2/(AG26*$AC$2*AL26*$AE$2)*1000+10,AK26*$O$2/(AG26*$AD$2*AL26*0.45*$AF$2)*1000+10)</f>
        <v>30.859259259259261</v>
      </c>
    </row>
    <row r="27" spans="3:39" ht="15.75" customHeight="1" x14ac:dyDescent="0.3">
      <c r="C27" s="32">
        <v>39</v>
      </c>
      <c r="D27" s="50">
        <v>0</v>
      </c>
      <c r="E27" s="50">
        <v>49.08</v>
      </c>
      <c r="F27" s="51">
        <v>223</v>
      </c>
      <c r="G27" s="32" t="s">
        <v>98</v>
      </c>
      <c r="H27" s="32" t="s">
        <v>78</v>
      </c>
      <c r="I27" s="32">
        <v>11.38</v>
      </c>
      <c r="J27" s="32">
        <v>1.5149999999999999</v>
      </c>
      <c r="K27" s="32">
        <v>2.556</v>
      </c>
      <c r="L27" s="32">
        <v>0.8</v>
      </c>
      <c r="M27" s="32">
        <v>1</v>
      </c>
      <c r="N27" s="52">
        <f>F27*L27</f>
        <v>178.4</v>
      </c>
      <c r="O27" s="52">
        <f>F27*M27</f>
        <v>223</v>
      </c>
      <c r="P27" s="52">
        <f t="shared" si="32"/>
        <v>117.75577557755777</v>
      </c>
      <c r="Q27" s="52">
        <f t="shared" si="32"/>
        <v>87.245696400625974</v>
      </c>
      <c r="R27" s="34">
        <f>MAX(P27:Q27)*SQRT($H$2/206000)</f>
        <v>4.0111575130089934</v>
      </c>
      <c r="S27" s="32">
        <f>IF(D27=0,400,200)</f>
        <v>400</v>
      </c>
      <c r="T27" s="34">
        <f>IF(D27=0,0,IF(H27="a",9.87*(1-0.03+0.06*R27)+R27^2,IF(H27="b",9.87*(1-0.04+0.09*R27)+R27^2,9.87*(1-0.04+0.14*R27)+R27^2)))</f>
        <v>0</v>
      </c>
      <c r="U27" s="53">
        <f>IF(D27=0,1,IF(AND(H27="a",R27&gt;3.8,0.5/(R27^2)*(T27-SQRT(T27^2-39.48*R27^2))&gt;7.6/(R27^2)),7.6/(R27^2),IF(AND(H27="b",R27&gt;4.4,0.5/(R27^2)*(T27-SQRT(T27^2-39.48*R27^2))&gt;7.6/(R27^2)),7.6/(R27^2),IF(AND(H27="c",R27&gt;5.8,0.5/(R27^2)*(T27-SQRT(T27^2-39.48*R27^2))&gt;7.6/(R27^2)),7.6/(R27^2),0.5/(R27^2)*(T27-SQRT(T27^2-39.48*R27^2))))))</f>
        <v>1</v>
      </c>
      <c r="V27" s="32">
        <v>1</v>
      </c>
      <c r="W27" s="51">
        <f>MAX(ABS(D27)*$O$2/I27/U27*10,E27*$O$2/I27*10)</f>
        <v>47.441124780316343</v>
      </c>
      <c r="X27" s="51">
        <f>$H$2*V27</f>
        <v>239.02439024390247</v>
      </c>
      <c r="Y27" s="34">
        <f>W27/X27</f>
        <v>0.19847817510132346</v>
      </c>
      <c r="Z27" s="54">
        <f>MAX(P27,Q27)/S27</f>
        <v>0.29438943894389441</v>
      </c>
      <c r="AC27" s="58">
        <f t="shared" si="38"/>
        <v>39</v>
      </c>
      <c r="AD27" s="60">
        <f>E27</f>
        <v>49.08</v>
      </c>
      <c r="AE27" s="58" t="str">
        <f t="shared" si="39"/>
        <v>2L50х6</v>
      </c>
      <c r="AF27" s="58">
        <v>1</v>
      </c>
      <c r="AG27" s="58">
        <v>2</v>
      </c>
      <c r="AH27" s="60">
        <f t="shared" si="40"/>
        <v>34.355999999999995</v>
      </c>
      <c r="AI27" s="58">
        <v>6</v>
      </c>
      <c r="AJ27" s="61">
        <f t="shared" si="41"/>
        <v>29.440123456790118</v>
      </c>
      <c r="AK27" s="60">
        <f t="shared" si="42"/>
        <v>14.723999999999998</v>
      </c>
      <c r="AL27" s="58">
        <v>5</v>
      </c>
      <c r="AM27" s="61">
        <f t="shared" si="43"/>
        <v>19.997777777777777</v>
      </c>
    </row>
    <row r="28" spans="3:39" ht="19.2" customHeight="1" x14ac:dyDescent="0.3">
      <c r="C28" s="69" t="s">
        <v>101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  <c r="AC28" s="85" t="s">
        <v>101</v>
      </c>
      <c r="AD28" s="86"/>
      <c r="AE28" s="86"/>
      <c r="AF28" s="86"/>
      <c r="AG28" s="86"/>
      <c r="AH28" s="86"/>
      <c r="AI28" s="86"/>
      <c r="AJ28" s="86"/>
      <c r="AK28" s="86"/>
      <c r="AL28" s="86"/>
      <c r="AM28" s="87"/>
    </row>
    <row r="29" spans="3:39" ht="15" customHeight="1" x14ac:dyDescent="0.3">
      <c r="C29" s="32">
        <v>5</v>
      </c>
      <c r="D29" s="32">
        <v>-447.8</v>
      </c>
      <c r="E29" s="51">
        <v>0</v>
      </c>
      <c r="F29" s="51">
        <v>100</v>
      </c>
      <c r="G29" s="32" t="s">
        <v>127</v>
      </c>
      <c r="H29" s="32" t="s">
        <v>78</v>
      </c>
      <c r="I29" s="32">
        <v>34.4</v>
      </c>
      <c r="J29" s="32">
        <v>3.39</v>
      </c>
      <c r="K29" s="32">
        <v>4.95</v>
      </c>
      <c r="L29" s="32">
        <v>1</v>
      </c>
      <c r="M29" s="32">
        <v>1</v>
      </c>
      <c r="N29" s="52">
        <f>F29*L29</f>
        <v>100</v>
      </c>
      <c r="O29" s="52">
        <f>F29*M29</f>
        <v>100</v>
      </c>
      <c r="P29" s="52">
        <f t="shared" ref="P29:Q32" si="44">N29/J29</f>
        <v>29.498525073746311</v>
      </c>
      <c r="Q29" s="52">
        <f t="shared" si="44"/>
        <v>20.202020202020201</v>
      </c>
      <c r="R29" s="34">
        <f>MAX(P29:Q29)*SQRT($H$2/206000)</f>
        <v>1.0048189134834427</v>
      </c>
      <c r="S29" s="32">
        <f>IF(D29=0,400,200)</f>
        <v>200</v>
      </c>
      <c r="T29" s="34">
        <f>IF(D29=0,0,IF(H29="a",9.87*(1-0.03+0.06*R29)+R29^2,IF(H29="b",9.87*(1-0.04+0.09*R29)+R29^2,9.87*(1-0.04+0.14*R29)+R29^2)))</f>
        <v>11.873319823545465</v>
      </c>
      <c r="U29" s="53">
        <f>IF(D29=0,1,IF(AND(H29="a",R29&gt;3.8,0.5/(R29^2)*(T29-SQRT(T29^2-39.48*R29^2))&gt;7.6/(R29^2)),7.6/(R29^2),IF(AND(H29="b",R29&gt;4.4,0.5/(R29^2)*(T29-SQRT(T29^2-39.48*R29^2))&gt;7.6/(R29^2)),7.6/(R29^2),IF(AND(H29="c",R29&gt;5.8,0.5/(R29^2)*(T29-SQRT(T29^2-39.48*R29^2))&gt;7.6/(R29^2)),7.6/(R29^2),0.5/(R29^2)*(T29-SQRT(T29^2-39.48*R29^2))))))</f>
        <v>0.90018274213746108</v>
      </c>
      <c r="V29" s="32">
        <v>0.8</v>
      </c>
      <c r="W29" s="51">
        <f>MAX(ABS(D29)*$O$2/I29/U29*10,E29*$O$2/I29*10)</f>
        <v>159.06976857289095</v>
      </c>
      <c r="X29" s="51">
        <f>$H$2*V29</f>
        <v>191.21951219512198</v>
      </c>
      <c r="Y29" s="54">
        <f>W29/X29</f>
        <v>0.83186996320006734</v>
      </c>
      <c r="Z29" s="34">
        <f>MAX(P29,Q29)/S29</f>
        <v>0.14749262536873156</v>
      </c>
      <c r="AC29" s="58">
        <f t="shared" ref="AC29" si="45">C29</f>
        <v>5</v>
      </c>
      <c r="AD29" s="60">
        <f>D29</f>
        <v>-447.8</v>
      </c>
      <c r="AE29" s="58" t="str">
        <f>G29</f>
        <v>2L110х8</v>
      </c>
      <c r="AF29" s="58">
        <v>1</v>
      </c>
      <c r="AG29" s="58">
        <v>2</v>
      </c>
      <c r="AH29" s="60">
        <f t="shared" ref="AH29" si="46">0.7*ABS(AD29)</f>
        <v>313.45999999999998</v>
      </c>
      <c r="AI29" s="58">
        <v>8</v>
      </c>
      <c r="AJ29" s="61">
        <f t="shared" ref="AJ29" si="47">IF($AG$2="у площині металу шва",AH29*$O$2/(AG29*$AC$2*AI29*$AE$2)*1000+10,AH29*$O$2/(AG29*$AD$2*AI29*0.45*$AF$2)*1000+10)</f>
        <v>143.02700617283949</v>
      </c>
      <c r="AK29" s="60">
        <f t="shared" ref="AK29" si="48">0.3*ABS(AD29)</f>
        <v>134.34</v>
      </c>
      <c r="AL29" s="58">
        <v>6</v>
      </c>
      <c r="AM29" s="61">
        <f t="shared" ref="AM29" si="49">IF($AG$2="у площині металу шва",AK29*$O$2/(AG29*$AC$2*AL29*$AE$2)*1000+10,AK29*$O$2/(AG29*$AD$2*AL29*0.45*$AF$2)*1000+10)</f>
        <v>86.01543209876543</v>
      </c>
    </row>
    <row r="30" spans="3:39" ht="15" customHeight="1" x14ac:dyDescent="0.3">
      <c r="C30" s="32">
        <v>33</v>
      </c>
      <c r="D30" s="50">
        <v>-89.56</v>
      </c>
      <c r="E30" s="50">
        <v>0</v>
      </c>
      <c r="F30" s="51">
        <v>140</v>
      </c>
      <c r="G30" s="32" t="s">
        <v>98</v>
      </c>
      <c r="H30" s="32" t="s">
        <v>78</v>
      </c>
      <c r="I30" s="32">
        <v>11.38</v>
      </c>
      <c r="J30" s="32">
        <v>1.5149999999999999</v>
      </c>
      <c r="K30" s="32">
        <v>2.556</v>
      </c>
      <c r="L30" s="32">
        <v>0.8</v>
      </c>
      <c r="M30" s="32">
        <v>1</v>
      </c>
      <c r="N30" s="52">
        <f>F30*L30</f>
        <v>112</v>
      </c>
      <c r="O30" s="52">
        <f>F30*M30</f>
        <v>140</v>
      </c>
      <c r="P30" s="52">
        <f t="shared" si="44"/>
        <v>73.927392739273927</v>
      </c>
      <c r="Q30" s="52">
        <f t="shared" si="44"/>
        <v>54.773082942097027</v>
      </c>
      <c r="R30" s="34">
        <f>MAX(P30:Q30)*SQRT($H$2/206000)</f>
        <v>2.5182154790190987</v>
      </c>
      <c r="S30" s="32">
        <f>IF(D30=0,400,200)</f>
        <v>200</v>
      </c>
      <c r="T30" s="34">
        <f>IF(D30=0,0,IF(H30="a",9.87*(1-0.03+0.06*R30)+R30^2,IF(H30="b",9.87*(1-0.04+0.09*R30)+R30^2,9.87*(1-0.04+0.14*R30)+R30^2)))</f>
        <v>19.296279347679977</v>
      </c>
      <c r="U30" s="53">
        <f>IF(D30=0,1,IF(AND(H30="a",R30&gt;3.8,0.5/(R30^2)*(T30-SQRT(T30^2-39.48*R30^2))&gt;7.6/(R30^2)),7.6/(R30^2),IF(AND(H30="b",R30&gt;4.4,0.5/(R30^2)*(T30-SQRT(T30^2-39.48*R30^2))&gt;7.6/(R30^2)),7.6/(R30^2),IF(AND(H30="c",R30&gt;5.8,0.5/(R30^2)*(T30-SQRT(T30^2-39.48*R30^2))&gt;7.6/(R30^2)),7.6/(R30^2),0.5/(R30^2)*(T30-SQRT(T30^2-39.48*R30^2))))))</f>
        <v>0.65060313495100053</v>
      </c>
      <c r="V30" s="32">
        <v>0.8</v>
      </c>
      <c r="W30" s="51">
        <f>MAX(ABS(D30)*$O$2/I30/U30*10,E30*$O$2/I30*10)</f>
        <v>133.06025652899638</v>
      </c>
      <c r="X30" s="51">
        <f>$H$2*V30</f>
        <v>191.21951219512198</v>
      </c>
      <c r="Y30" s="54">
        <f>W30/X30</f>
        <v>0.69585083133786363</v>
      </c>
      <c r="Z30" s="34">
        <f>MAX(P30,Q30)/S30</f>
        <v>0.36963696369636961</v>
      </c>
      <c r="AC30" s="58">
        <f t="shared" ref="AC30:AC32" si="50">C30</f>
        <v>33</v>
      </c>
      <c r="AD30" s="60">
        <f t="shared" ref="AD30:AD32" si="51">D30</f>
        <v>-89.56</v>
      </c>
      <c r="AE30" s="58" t="str">
        <f t="shared" ref="AE30:AE32" si="52">G30</f>
        <v>2L50х6</v>
      </c>
      <c r="AF30" s="58">
        <v>1</v>
      </c>
      <c r="AG30" s="58">
        <v>2</v>
      </c>
      <c r="AH30" s="60">
        <f t="shared" ref="AH30:AH32" si="53">0.7*ABS(AD30)</f>
        <v>62.692</v>
      </c>
      <c r="AI30" s="58">
        <v>6</v>
      </c>
      <c r="AJ30" s="61">
        <f t="shared" ref="AJ30:AJ32" si="54">IF($AG$2="у площині металу шва",AH30*$O$2/(AG30*$AC$2*AI30*$AE$2)*1000+10,AH30*$O$2/(AG30*$AD$2*AI30*0.45*$AF$2)*1000+10)</f>
        <v>45.473868312757197</v>
      </c>
      <c r="AK30" s="60">
        <f t="shared" ref="AK30:AK32" si="55">0.3*ABS(AD30)</f>
        <v>26.867999999999999</v>
      </c>
      <c r="AL30" s="58">
        <v>5</v>
      </c>
      <c r="AM30" s="61">
        <f t="shared" ref="AM30:AM32" si="56">IF($AG$2="у площині металу шва",AK30*$O$2/(AG30*$AC$2*AL30*$AE$2)*1000+10,AK30*$O$2/(AG30*$AD$2*AL30*0.45*$AF$2)*1000+10)</f>
        <v>28.243703703703702</v>
      </c>
    </row>
    <row r="31" spans="3:39" ht="15" customHeight="1" x14ac:dyDescent="0.3">
      <c r="C31" s="32" t="s">
        <v>129</v>
      </c>
      <c r="D31" s="50">
        <v>0</v>
      </c>
      <c r="E31" s="50">
        <v>0</v>
      </c>
      <c r="F31" s="51">
        <v>260</v>
      </c>
      <c r="G31" s="32" t="s">
        <v>98</v>
      </c>
      <c r="H31" s="32" t="s">
        <v>78</v>
      </c>
      <c r="I31" s="32">
        <v>11.38</v>
      </c>
      <c r="J31" s="32">
        <v>1.5149999999999999</v>
      </c>
      <c r="K31" s="32">
        <v>2.556</v>
      </c>
      <c r="L31" s="32">
        <v>0.8</v>
      </c>
      <c r="M31" s="32">
        <v>1</v>
      </c>
      <c r="N31" s="52">
        <f>F31*L31</f>
        <v>208</v>
      </c>
      <c r="O31" s="52">
        <f>F31*M31</f>
        <v>260</v>
      </c>
      <c r="P31" s="52">
        <f t="shared" si="44"/>
        <v>137.29372937293729</v>
      </c>
      <c r="Q31" s="52">
        <f t="shared" si="44"/>
        <v>101.72143974960876</v>
      </c>
      <c r="R31" s="34">
        <f>MAX(P31:Q31)*SQRT($H$2/206000)</f>
        <v>4.6766858896068983</v>
      </c>
      <c r="S31" s="32">
        <f>IF(D31=0,400,200)</f>
        <v>400</v>
      </c>
      <c r="T31" s="34">
        <f>IF(D31=0,0,IF(H31="a",9.87*(1-0.03+0.06*R31)+R31^2,IF(H31="b",9.87*(1-0.04+0.09*R31)+R31^2,9.87*(1-0.04+0.14*R31)+R31^2)))</f>
        <v>0</v>
      </c>
      <c r="U31" s="53">
        <f>IF(D31=0,1,IF(AND(H31="a",R31&gt;3.8,0.5/(R31^2)*(T31-SQRT(T31^2-39.48*R31^2))&gt;7.6/(R31^2)),7.6/(R31^2),IF(AND(H31="b",R31&gt;4.4,0.5/(R31^2)*(T31-SQRT(T31^2-39.48*R31^2))&gt;7.6/(R31^2)),7.6/(R31^2),IF(AND(H31="c",R31&gt;5.8,0.5/(R31^2)*(T31-SQRT(T31^2-39.48*R31^2))&gt;7.6/(R31^2)),7.6/(R31^2),0.5/(R31^2)*(T31-SQRT(T31^2-39.48*R31^2))))))</f>
        <v>1</v>
      </c>
      <c r="V31" s="32">
        <v>0.8</v>
      </c>
      <c r="W31" s="51">
        <f>MAX(ABS(D31)*$O$2/I31/U31*10,E31*$O$2/I31*10)</f>
        <v>0</v>
      </c>
      <c r="X31" s="51">
        <f>$H$2*V31</f>
        <v>191.21951219512198</v>
      </c>
      <c r="Y31" s="54">
        <f>W31/X31</f>
        <v>0</v>
      </c>
      <c r="Z31" s="34">
        <f>MAX(P31,Q31)/S31</f>
        <v>0.34323432343234322</v>
      </c>
      <c r="AC31" s="58" t="str">
        <f t="shared" si="50"/>
        <v>30, 32</v>
      </c>
      <c r="AD31" s="60">
        <f t="shared" si="51"/>
        <v>0</v>
      </c>
      <c r="AE31" s="58" t="str">
        <f t="shared" si="52"/>
        <v>2L50х6</v>
      </c>
      <c r="AF31" s="58">
        <v>1</v>
      </c>
      <c r="AG31" s="58">
        <v>2</v>
      </c>
      <c r="AH31" s="60">
        <f t="shared" si="53"/>
        <v>0</v>
      </c>
      <c r="AI31" s="58">
        <v>5</v>
      </c>
      <c r="AJ31" s="61">
        <f t="shared" si="54"/>
        <v>10</v>
      </c>
      <c r="AK31" s="60">
        <f t="shared" si="55"/>
        <v>0</v>
      </c>
      <c r="AL31" s="58">
        <v>5</v>
      </c>
      <c r="AM31" s="61">
        <f t="shared" si="56"/>
        <v>10</v>
      </c>
    </row>
    <row r="32" spans="3:39" ht="13.2" customHeight="1" x14ac:dyDescent="0.3">
      <c r="C32" s="32" t="s">
        <v>130</v>
      </c>
      <c r="D32" s="50">
        <v>-89.56</v>
      </c>
      <c r="E32" s="50">
        <v>0</v>
      </c>
      <c r="F32" s="51">
        <v>300</v>
      </c>
      <c r="G32" s="32" t="s">
        <v>131</v>
      </c>
      <c r="H32" s="32" t="s">
        <v>78</v>
      </c>
      <c r="I32" s="32">
        <v>14.56</v>
      </c>
      <c r="J32" s="32">
        <v>1.93</v>
      </c>
      <c r="K32" s="32">
        <v>3.06</v>
      </c>
      <c r="L32" s="32">
        <v>0.8</v>
      </c>
      <c r="M32" s="32">
        <v>1</v>
      </c>
      <c r="N32" s="52">
        <f>F32*L32</f>
        <v>240</v>
      </c>
      <c r="O32" s="52">
        <f>F32*M32</f>
        <v>300</v>
      </c>
      <c r="P32" s="52">
        <f t="shared" si="44"/>
        <v>124.35233160621762</v>
      </c>
      <c r="Q32" s="52">
        <f t="shared" si="44"/>
        <v>98.039215686274503</v>
      </c>
      <c r="R32" s="34">
        <f>MAX(P32:Q32)*SQRT($H$2/206000)</f>
        <v>4.2358583834721708</v>
      </c>
      <c r="S32" s="32">
        <f>IF(D32=0,400,200)</f>
        <v>200</v>
      </c>
      <c r="T32" s="34">
        <f>IF(D32=0,0,IF(H32="a",9.87*(1-0.03+0.06*R32)+R32^2,IF(H32="b",9.87*(1-0.04+0.09*R32)+R32^2,9.87*(1-0.04+0.14*R32)+R32^2)))</f>
        <v>33.270805359113311</v>
      </c>
      <c r="U32" s="53">
        <f>IF(D32=0,1,IF(AND(H32="a",R32&gt;3.8,0.5/(R32^2)*(T32-SQRT(T32^2-39.48*R32^2))&gt;7.6/(R32^2)),7.6/(R32^2),IF(AND(H32="b",R32&gt;4.4,0.5/(R32^2)*(T32-SQRT(T32^2-39.48*R32^2))&gt;7.6/(R32^2)),7.6/(R32^2),IF(AND(H32="c",R32&gt;5.8,0.5/(R32^2)*(T32-SQRT(T32^2-39.48*R32^2))&gt;7.6/(R32^2)),7.6/(R32^2),0.5/(R32^2)*(T32-SQRT(T32^2-39.48*R32^2))))))</f>
        <v>0.3708073405092745</v>
      </c>
      <c r="V32" s="32">
        <v>0.8</v>
      </c>
      <c r="W32" s="51">
        <f>MAX(ABS(D32)*$O$2/I32/U32*10,E32*$O$2/I32*10)</f>
        <v>182.47235294522326</v>
      </c>
      <c r="X32" s="51">
        <f>$H$2*V32</f>
        <v>191.21951219512198</v>
      </c>
      <c r="Y32" s="54">
        <f>W32/X32</f>
        <v>0.95425592739211129</v>
      </c>
      <c r="Z32" s="34">
        <f>MAX(P32,Q32)/S32</f>
        <v>0.62176165803108807</v>
      </c>
      <c r="AC32" s="58" t="str">
        <f t="shared" si="50"/>
        <v>29, 31</v>
      </c>
      <c r="AD32" s="60">
        <f t="shared" si="51"/>
        <v>-89.56</v>
      </c>
      <c r="AE32" s="58" t="str">
        <f t="shared" si="52"/>
        <v>2L63х6</v>
      </c>
      <c r="AF32" s="58">
        <v>1</v>
      </c>
      <c r="AG32" s="58">
        <v>2</v>
      </c>
      <c r="AH32" s="60">
        <f t="shared" si="53"/>
        <v>62.692</v>
      </c>
      <c r="AI32" s="58">
        <v>6</v>
      </c>
      <c r="AJ32" s="61">
        <f t="shared" si="54"/>
        <v>45.473868312757197</v>
      </c>
      <c r="AK32" s="60">
        <f t="shared" si="55"/>
        <v>26.867999999999999</v>
      </c>
      <c r="AL32" s="58">
        <v>5</v>
      </c>
      <c r="AM32" s="61">
        <f t="shared" si="56"/>
        <v>28.243703703703702</v>
      </c>
    </row>
    <row r="33" spans="3:29" x14ac:dyDescent="0.3">
      <c r="AC33" s="62"/>
    </row>
    <row r="34" spans="3:29" ht="15" customHeight="1" x14ac:dyDescent="0.3"/>
    <row r="35" spans="3:29" ht="15" customHeight="1" x14ac:dyDescent="0.3"/>
    <row r="36" spans="3:29" ht="15" customHeight="1" x14ac:dyDescent="0.3"/>
    <row r="37" spans="3:29" ht="15" customHeight="1" x14ac:dyDescent="0.3"/>
    <row r="38" spans="3:29" ht="15" customHeight="1" x14ac:dyDescent="0.3"/>
    <row r="39" spans="3:29" ht="15" customHeight="1" x14ac:dyDescent="0.3"/>
    <row r="40" spans="3:29" ht="15" customHeight="1" x14ac:dyDescent="0.3"/>
    <row r="44" spans="3:29" ht="15" customHeight="1" x14ac:dyDescent="0.3"/>
    <row r="45" spans="3:29" ht="15" customHeight="1" x14ac:dyDescent="0.3"/>
    <row r="46" spans="3:29" ht="15" customHeight="1" x14ac:dyDescent="0.3"/>
    <row r="47" spans="3:29" ht="15" customHeight="1" x14ac:dyDescent="0.3"/>
    <row r="48" spans="3:29" x14ac:dyDescent="0.3">
      <c r="C48" s="6"/>
      <c r="D48" s="6"/>
      <c r="E48" s="38"/>
      <c r="F48" s="38"/>
      <c r="G48" s="38"/>
      <c r="H48" s="38"/>
      <c r="I48" s="38"/>
      <c r="J48" s="38"/>
      <c r="K48" s="7"/>
      <c r="L48" s="7"/>
      <c r="M48" s="7"/>
      <c r="N48" s="7"/>
      <c r="O48" s="7"/>
      <c r="P48" s="38"/>
      <c r="Q48" s="38"/>
      <c r="R48" s="7"/>
      <c r="S48" s="7"/>
      <c r="T48" s="7"/>
      <c r="U48" s="6"/>
      <c r="V48" s="6"/>
      <c r="W48" s="6"/>
      <c r="X48" s="38"/>
      <c r="Y48" s="6"/>
      <c r="Z48" s="38"/>
    </row>
    <row r="49" spans="2:26" x14ac:dyDescent="0.3">
      <c r="C49" s="6"/>
      <c r="D49" s="6"/>
      <c r="E49" s="38"/>
      <c r="F49" s="38"/>
      <c r="G49" s="38"/>
      <c r="H49" s="38"/>
      <c r="I49" s="38"/>
      <c r="J49" s="38"/>
      <c r="K49" s="38"/>
      <c r="L49" s="38"/>
      <c r="M49" s="38"/>
      <c r="N49" s="7"/>
      <c r="O49" s="7"/>
      <c r="P49" s="38"/>
      <c r="Q49" s="38"/>
      <c r="R49" s="7"/>
      <c r="S49" s="7"/>
      <c r="T49" s="7"/>
      <c r="U49" s="33"/>
      <c r="V49" s="33"/>
      <c r="W49" s="6"/>
      <c r="X49" s="38"/>
      <c r="Y49" s="6"/>
      <c r="Z49" s="38"/>
    </row>
    <row r="50" spans="2:26" ht="15" thickBot="1" x14ac:dyDescent="0.35">
      <c r="B50" s="5"/>
      <c r="C50" s="67" t="s">
        <v>9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48"/>
      <c r="T50" s="48"/>
      <c r="U50" s="6"/>
      <c r="V50" s="6"/>
      <c r="W50" s="6"/>
      <c r="X50" s="38"/>
      <c r="Y50" s="6"/>
      <c r="Z50" s="38"/>
    </row>
    <row r="51" spans="2:26" ht="14.25" customHeight="1" x14ac:dyDescent="0.3">
      <c r="B51" s="5"/>
      <c r="C51" s="72" t="s">
        <v>0</v>
      </c>
      <c r="D51" s="72" t="s">
        <v>10</v>
      </c>
      <c r="E51" s="72" t="s">
        <v>67</v>
      </c>
      <c r="F51" s="1" t="s">
        <v>53</v>
      </c>
      <c r="G51" s="72" t="s">
        <v>13</v>
      </c>
      <c r="H51" s="72" t="s">
        <v>14</v>
      </c>
      <c r="I51" s="72" t="s">
        <v>15</v>
      </c>
      <c r="J51" s="72" t="s">
        <v>16</v>
      </c>
      <c r="K51" s="74" t="s">
        <v>17</v>
      </c>
      <c r="L51" s="41"/>
      <c r="M51" s="41"/>
      <c r="N51" s="1" t="s">
        <v>18</v>
      </c>
      <c r="O51" s="1"/>
      <c r="P51" s="72" t="s">
        <v>68</v>
      </c>
      <c r="Q51" s="39"/>
      <c r="R51" s="72" t="s">
        <v>21</v>
      </c>
      <c r="S51" s="43"/>
      <c r="T51" s="43"/>
    </row>
    <row r="52" spans="2:26" ht="16.5" customHeight="1" thickBot="1" x14ac:dyDescent="0.35">
      <c r="B52" s="5"/>
      <c r="C52" s="73"/>
      <c r="D52" s="73"/>
      <c r="E52" s="73"/>
      <c r="F52" s="2" t="s">
        <v>12</v>
      </c>
      <c r="G52" s="73"/>
      <c r="H52" s="73"/>
      <c r="I52" s="73"/>
      <c r="J52" s="73"/>
      <c r="K52" s="75"/>
      <c r="L52" s="42"/>
      <c r="M52" s="42"/>
      <c r="N52" s="2" t="s">
        <v>19</v>
      </c>
      <c r="O52" s="2"/>
      <c r="P52" s="73"/>
      <c r="Q52" s="37"/>
      <c r="R52" s="73"/>
      <c r="S52" s="43"/>
      <c r="T52" s="43"/>
    </row>
    <row r="53" spans="2:26" ht="50.25" customHeight="1" thickBot="1" x14ac:dyDescent="0.35">
      <c r="C53" s="3">
        <v>1</v>
      </c>
      <c r="D53" s="3" t="s">
        <v>23</v>
      </c>
      <c r="E53" s="13" t="s">
        <v>79</v>
      </c>
      <c r="F53" s="9">
        <f t="shared" ref="F53:F58" si="57">G53*J53*K53*0.1</f>
        <v>35.325000000000003</v>
      </c>
      <c r="G53" s="31">
        <f t="shared" ref="G53:G58" si="58">IF(D53="Болт М16",1.57,IF(D53="Болт М20",2.45,IF(D53="Болт М24",3.52,IF(D53="Болт М30",5.61,IF(D53="Болт М36",8.26,IF(D53="Болт М42",11.2,IF(D53="Болт М48",19.72,0.842)))))))</f>
        <v>1.57</v>
      </c>
      <c r="H53" s="31">
        <v>3</v>
      </c>
      <c r="I53" s="13" t="s">
        <v>58</v>
      </c>
      <c r="J53" s="31">
        <f t="shared" ref="J53:J58" si="59">IF(I53="8,8",435,IF(I53="10,9",540,225))</f>
        <v>225</v>
      </c>
      <c r="K53" s="31">
        <v>1</v>
      </c>
      <c r="L53" s="31"/>
      <c r="M53" s="31"/>
      <c r="N53" s="9">
        <f t="shared" ref="N53:N58" si="60">F53*H53</f>
        <v>105.97500000000001</v>
      </c>
      <c r="O53" s="9"/>
      <c r="P53" s="9">
        <v>4.51</v>
      </c>
      <c r="Q53" s="9"/>
      <c r="R53" s="9">
        <f t="shared" ref="R53:R58" si="61">P53/N53*100</f>
        <v>4.2557206888417074</v>
      </c>
      <c r="S53" s="44"/>
      <c r="T53" s="44"/>
    </row>
    <row r="54" spans="2:26" ht="24" customHeight="1" thickBot="1" x14ac:dyDescent="0.35">
      <c r="C54" s="15">
        <v>2</v>
      </c>
      <c r="D54" s="10" t="s">
        <v>51</v>
      </c>
      <c r="E54" s="16" t="s">
        <v>52</v>
      </c>
      <c r="F54" s="17">
        <f t="shared" si="57"/>
        <v>244.03500000000005</v>
      </c>
      <c r="G54" s="18">
        <f t="shared" si="58"/>
        <v>5.61</v>
      </c>
      <c r="H54" s="18">
        <v>4</v>
      </c>
      <c r="I54" s="19" t="s">
        <v>50</v>
      </c>
      <c r="J54" s="18">
        <f t="shared" si="59"/>
        <v>435</v>
      </c>
      <c r="K54" s="11">
        <v>1</v>
      </c>
      <c r="L54" s="11"/>
      <c r="M54" s="11"/>
      <c r="N54" s="17">
        <f t="shared" si="60"/>
        <v>976.14000000000021</v>
      </c>
      <c r="O54" s="17"/>
      <c r="P54" s="17">
        <v>301.14</v>
      </c>
      <c r="Q54" s="17"/>
      <c r="R54" s="17">
        <f t="shared" si="61"/>
        <v>30.850082979900417</v>
      </c>
      <c r="S54" s="49"/>
      <c r="T54" s="49"/>
    </row>
    <row r="55" spans="2:26" ht="27" customHeight="1" thickBot="1" x14ac:dyDescent="0.35">
      <c r="C55" s="15">
        <v>3</v>
      </c>
      <c r="D55" s="10" t="s">
        <v>51</v>
      </c>
      <c r="E55" s="16" t="s">
        <v>54</v>
      </c>
      <c r="F55" s="17">
        <f t="shared" si="57"/>
        <v>244.03500000000005</v>
      </c>
      <c r="G55" s="18">
        <f t="shared" si="58"/>
        <v>5.61</v>
      </c>
      <c r="H55" s="18">
        <v>4</v>
      </c>
      <c r="I55" s="19" t="s">
        <v>50</v>
      </c>
      <c r="J55" s="18">
        <f t="shared" si="59"/>
        <v>435</v>
      </c>
      <c r="K55" s="11">
        <v>1</v>
      </c>
      <c r="L55" s="11"/>
      <c r="M55" s="11"/>
      <c r="N55" s="17">
        <f t="shared" si="60"/>
        <v>976.14000000000021</v>
      </c>
      <c r="O55" s="17"/>
      <c r="P55" s="17">
        <v>162.44999999999999</v>
      </c>
      <c r="Q55" s="17"/>
      <c r="R55" s="17">
        <f t="shared" si="61"/>
        <v>16.642080029503962</v>
      </c>
      <c r="S55" s="49"/>
      <c r="T55" s="49"/>
    </row>
    <row r="56" spans="2:26" ht="15" thickBot="1" x14ac:dyDescent="0.35">
      <c r="C56" s="15">
        <v>4</v>
      </c>
      <c r="D56" s="10" t="s">
        <v>38</v>
      </c>
      <c r="E56" s="16" t="s">
        <v>55</v>
      </c>
      <c r="F56" s="17">
        <f t="shared" si="57"/>
        <v>153.12</v>
      </c>
      <c r="G56" s="18">
        <f t="shared" si="58"/>
        <v>3.52</v>
      </c>
      <c r="H56" s="18">
        <v>4</v>
      </c>
      <c r="I56" s="19" t="s">
        <v>50</v>
      </c>
      <c r="J56" s="18">
        <f t="shared" si="59"/>
        <v>435</v>
      </c>
      <c r="K56" s="11">
        <v>1</v>
      </c>
      <c r="L56" s="11"/>
      <c r="M56" s="11"/>
      <c r="N56" s="17">
        <f t="shared" si="60"/>
        <v>612.48</v>
      </c>
      <c r="O56" s="20"/>
      <c r="P56" s="20">
        <v>127.36</v>
      </c>
      <c r="Q56" s="20"/>
      <c r="R56" s="17">
        <f t="shared" si="61"/>
        <v>20.794148380355278</v>
      </c>
      <c r="S56" s="49"/>
      <c r="T56" s="49"/>
    </row>
    <row r="57" spans="2:26" ht="15" thickBot="1" x14ac:dyDescent="0.35">
      <c r="C57" s="15">
        <v>5</v>
      </c>
      <c r="D57" s="10" t="s">
        <v>22</v>
      </c>
      <c r="E57" s="16" t="s">
        <v>56</v>
      </c>
      <c r="F57" s="17">
        <f t="shared" si="57"/>
        <v>106.575</v>
      </c>
      <c r="G57" s="18">
        <f t="shared" si="58"/>
        <v>2.4500000000000002</v>
      </c>
      <c r="H57" s="18">
        <v>4</v>
      </c>
      <c r="I57" s="19" t="s">
        <v>50</v>
      </c>
      <c r="J57" s="18">
        <f t="shared" si="59"/>
        <v>435</v>
      </c>
      <c r="K57" s="11">
        <v>1</v>
      </c>
      <c r="L57" s="11"/>
      <c r="M57" s="11"/>
      <c r="N57" s="17">
        <f t="shared" si="60"/>
        <v>426.3</v>
      </c>
      <c r="O57" s="20"/>
      <c r="P57" s="20">
        <v>41.74</v>
      </c>
      <c r="Q57" s="20"/>
      <c r="R57" s="17">
        <f t="shared" si="61"/>
        <v>9.7912268355618117</v>
      </c>
      <c r="S57" s="49"/>
      <c r="T57" s="49"/>
    </row>
    <row r="58" spans="2:26" ht="15" thickBot="1" x14ac:dyDescent="0.35">
      <c r="C58" s="15">
        <v>6</v>
      </c>
      <c r="D58" s="10" t="s">
        <v>23</v>
      </c>
      <c r="E58" s="16" t="s">
        <v>57</v>
      </c>
      <c r="F58" s="17">
        <f t="shared" si="57"/>
        <v>68.295000000000002</v>
      </c>
      <c r="G58" s="18">
        <f t="shared" si="58"/>
        <v>1.57</v>
      </c>
      <c r="H58" s="18">
        <v>4</v>
      </c>
      <c r="I58" s="19" t="s">
        <v>50</v>
      </c>
      <c r="J58" s="18">
        <f t="shared" si="59"/>
        <v>435</v>
      </c>
      <c r="K58" s="11">
        <v>1</v>
      </c>
      <c r="L58" s="11"/>
      <c r="M58" s="11"/>
      <c r="N58" s="17">
        <f t="shared" si="60"/>
        <v>273.18</v>
      </c>
      <c r="O58" s="20"/>
      <c r="P58" s="21">
        <v>6.2</v>
      </c>
      <c r="Q58" s="21"/>
      <c r="R58" s="17">
        <f t="shared" si="61"/>
        <v>2.2695658540156671</v>
      </c>
      <c r="S58" s="49"/>
      <c r="T58" s="49"/>
    </row>
    <row r="59" spans="2:26" ht="15" thickBot="1" x14ac:dyDescent="0.35">
      <c r="C59" s="15"/>
      <c r="D59" s="10"/>
      <c r="E59" s="16"/>
      <c r="F59" s="17"/>
      <c r="G59" s="18"/>
      <c r="H59" s="18"/>
      <c r="I59" s="19"/>
      <c r="J59" s="18"/>
      <c r="K59" s="11"/>
      <c r="L59" s="11"/>
      <c r="M59" s="11"/>
      <c r="N59" s="17"/>
      <c r="O59" s="20"/>
      <c r="P59" s="21"/>
      <c r="Q59" s="21"/>
      <c r="R59" s="17"/>
      <c r="S59" s="49"/>
      <c r="T59" s="49"/>
    </row>
    <row r="60" spans="2:26" ht="15" thickBot="1" x14ac:dyDescent="0.35">
      <c r="C60" s="3"/>
      <c r="D60" s="37"/>
      <c r="E60" s="14"/>
      <c r="F60" s="9"/>
      <c r="G60" s="31"/>
      <c r="H60" s="4"/>
      <c r="I60" s="13"/>
      <c r="J60" s="4"/>
      <c r="K60" s="4"/>
      <c r="L60" s="4"/>
      <c r="M60" s="4"/>
      <c r="N60" s="9"/>
      <c r="O60" s="40"/>
      <c r="P60" s="22"/>
      <c r="Q60" s="22"/>
      <c r="R60" s="9"/>
      <c r="S60" s="44"/>
      <c r="T60" s="44"/>
    </row>
    <row r="61" spans="2:26" ht="15" thickBot="1" x14ac:dyDescent="0.35"/>
    <row r="62" spans="2:26" ht="187.8" thickBot="1" x14ac:dyDescent="0.35">
      <c r="C62" s="23" t="s">
        <v>0</v>
      </c>
      <c r="D62" s="24" t="s">
        <v>59</v>
      </c>
      <c r="E62" s="25" t="s">
        <v>60</v>
      </c>
      <c r="F62" s="24" t="s">
        <v>61</v>
      </c>
      <c r="G62" s="25" t="s">
        <v>62</v>
      </c>
      <c r="H62" s="25" t="s">
        <v>63</v>
      </c>
      <c r="I62" s="25" t="s">
        <v>64</v>
      </c>
      <c r="J62" s="24" t="s">
        <v>65</v>
      </c>
      <c r="K62" s="25" t="s">
        <v>66</v>
      </c>
      <c r="L62" s="45"/>
      <c r="M62" s="45"/>
    </row>
    <row r="63" spans="2:26" ht="16.2" thickBot="1" x14ac:dyDescent="0.35">
      <c r="C63" s="26">
        <v>1</v>
      </c>
      <c r="D63" s="27" t="s">
        <v>69</v>
      </c>
      <c r="E63" s="28">
        <f>IF(D63="Болт М16",1.57,IF(D63="Болт М20",2.45,IF(D63="Болт М24",3.53,IF(D63="Болт М30",5.61,IF(D63="Болт М36",8.16,IF(D63="Болт М42",11.2,IF(D63="Болт М45",13.06,IF(D63="Болт М48",14.72,IF(D63="Болт М56",20.29,IF(D63="Болт М64",26.75,0.842))))))))))</f>
        <v>8.16</v>
      </c>
      <c r="F63" s="27">
        <v>3</v>
      </c>
      <c r="G63" s="28">
        <v>315.81</v>
      </c>
      <c r="H63" s="28">
        <v>1.05</v>
      </c>
      <c r="I63" s="30">
        <f>E63*0.1*J63*F63/H63</f>
        <v>373.02857142857141</v>
      </c>
      <c r="J63" s="27">
        <v>160</v>
      </c>
      <c r="K63" s="29">
        <f>G63/I63</f>
        <v>0.84661075367647065</v>
      </c>
      <c r="L63" s="46"/>
      <c r="M63" s="46"/>
    </row>
    <row r="64" spans="2:26" ht="15" customHeight="1" thickTop="1" x14ac:dyDescent="0.3"/>
    <row r="65" spans="1:20" ht="15" thickBot="1" x14ac:dyDescent="0.35"/>
    <row r="66" spans="1:20" ht="15" thickBot="1" x14ac:dyDescent="0.35">
      <c r="C66" s="76" t="s">
        <v>26</v>
      </c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8"/>
      <c r="S66" s="43"/>
      <c r="T66" s="43"/>
    </row>
    <row r="67" spans="1:20" ht="110.4" x14ac:dyDescent="0.3">
      <c r="C67" s="72" t="s">
        <v>0</v>
      </c>
      <c r="D67" s="81" t="s">
        <v>10</v>
      </c>
      <c r="E67" s="72" t="s">
        <v>67</v>
      </c>
      <c r="F67" s="1" t="s">
        <v>11</v>
      </c>
      <c r="G67" s="72" t="s">
        <v>28</v>
      </c>
      <c r="H67" s="72" t="s">
        <v>14</v>
      </c>
      <c r="I67" s="72" t="s">
        <v>15</v>
      </c>
      <c r="J67" s="72" t="s">
        <v>29</v>
      </c>
      <c r="K67" s="72" t="s">
        <v>30</v>
      </c>
      <c r="L67" s="39"/>
      <c r="M67" s="39"/>
      <c r="N67" s="74" t="s">
        <v>17</v>
      </c>
      <c r="O67" s="41"/>
      <c r="P67" s="1" t="s">
        <v>18</v>
      </c>
      <c r="Q67" s="1"/>
      <c r="R67" s="72" t="s">
        <v>20</v>
      </c>
      <c r="S67" s="39"/>
      <c r="T67" s="39"/>
    </row>
    <row r="68" spans="1:20" ht="30.6" thickBot="1" x14ac:dyDescent="0.35">
      <c r="C68" s="73"/>
      <c r="D68" s="82"/>
      <c r="E68" s="73"/>
      <c r="F68" s="2" t="s">
        <v>27</v>
      </c>
      <c r="G68" s="73"/>
      <c r="H68" s="73"/>
      <c r="I68" s="73"/>
      <c r="J68" s="73"/>
      <c r="K68" s="73"/>
      <c r="L68" s="37"/>
      <c r="M68" s="37"/>
      <c r="N68" s="75"/>
      <c r="O68" s="42"/>
      <c r="P68" s="2" t="s">
        <v>19</v>
      </c>
      <c r="Q68" s="2"/>
      <c r="R68" s="73"/>
      <c r="S68" s="37"/>
      <c r="T68" s="37"/>
    </row>
    <row r="69" spans="1:20" ht="15" thickBot="1" x14ac:dyDescent="0.35">
      <c r="C69" s="3">
        <v>1</v>
      </c>
      <c r="D69" s="31" t="s">
        <v>22</v>
      </c>
      <c r="E69" s="8" t="s">
        <v>70</v>
      </c>
      <c r="F69" s="9">
        <f>J69*G69*0.1*N69*K69</f>
        <v>118.69199999999999</v>
      </c>
      <c r="G69" s="31">
        <f t="shared" ref="G69:G76" si="62">IF(D69="Болт М16",2.01,IF(D69="Болт М20",3.14,IF(D69="Болт М24",4.52,IF(D69="Болт М27",5.72,IF(D69="Болт М30",7.06,IF(D69="Болт М36",10.17,IF(D69="Болт М42",13.85,IF(D69="Болт М48",18.09,1.13))))))))</f>
        <v>3.14</v>
      </c>
      <c r="H69" s="31">
        <v>6</v>
      </c>
      <c r="I69" s="4">
        <v>5.8</v>
      </c>
      <c r="J69" s="31">
        <f>IF(I69=8.8,320,210)</f>
        <v>210</v>
      </c>
      <c r="K69" s="31">
        <v>2</v>
      </c>
      <c r="L69" s="31"/>
      <c r="M69" s="31"/>
      <c r="N69" s="31">
        <v>0.9</v>
      </c>
      <c r="O69" s="31"/>
      <c r="P69" s="9">
        <f t="shared" ref="P69:P76" si="63">F69*H69</f>
        <v>712.15199999999993</v>
      </c>
      <c r="Q69" s="9"/>
      <c r="R69" s="12" t="e">
        <f>#REF!*0.734</f>
        <v>#REF!</v>
      </c>
      <c r="S69" s="12"/>
      <c r="T69" s="12"/>
    </row>
    <row r="70" spans="1:20" ht="15.75" customHeight="1" thickBot="1" x14ac:dyDescent="0.35">
      <c r="C70" s="37">
        <v>2</v>
      </c>
      <c r="D70" s="4" t="s">
        <v>22</v>
      </c>
      <c r="E70" s="8" t="s">
        <v>71</v>
      </c>
      <c r="F70" s="9">
        <f t="shared" ref="F70:F76" si="64">J70*G70*0.1*N70*K70</f>
        <v>118.69199999999999</v>
      </c>
      <c r="G70" s="31">
        <f t="shared" si="62"/>
        <v>3.14</v>
      </c>
      <c r="H70" s="4">
        <v>4</v>
      </c>
      <c r="I70" s="4">
        <v>5.8</v>
      </c>
      <c r="J70" s="31">
        <f t="shared" ref="J70:J76" si="65">IF(I70=8.8,320,210)</f>
        <v>210</v>
      </c>
      <c r="K70" s="4">
        <v>2</v>
      </c>
      <c r="L70" s="4"/>
      <c r="M70" s="4"/>
      <c r="N70" s="4">
        <v>0.9</v>
      </c>
      <c r="O70" s="4"/>
      <c r="P70" s="9">
        <f t="shared" si="63"/>
        <v>474.76799999999997</v>
      </c>
      <c r="Q70" s="9"/>
      <c r="R70" s="12" t="e">
        <f>#REF!*0.734</f>
        <v>#REF!</v>
      </c>
      <c r="S70" s="12"/>
      <c r="T70" s="12"/>
    </row>
    <row r="71" spans="1:20" ht="15" thickBot="1" x14ac:dyDescent="0.35">
      <c r="A71" s="8" t="s">
        <v>39</v>
      </c>
      <c r="C71" s="3">
        <v>3</v>
      </c>
      <c r="D71" s="31" t="s">
        <v>22</v>
      </c>
      <c r="E71" s="8" t="s">
        <v>72</v>
      </c>
      <c r="F71" s="9">
        <f t="shared" si="64"/>
        <v>118.69199999999999</v>
      </c>
      <c r="G71" s="31">
        <f t="shared" si="62"/>
        <v>3.14</v>
      </c>
      <c r="H71" s="31">
        <v>4</v>
      </c>
      <c r="I71" s="4">
        <v>5.8</v>
      </c>
      <c r="J71" s="31">
        <f t="shared" si="65"/>
        <v>210</v>
      </c>
      <c r="K71" s="31">
        <v>2</v>
      </c>
      <c r="L71" s="31"/>
      <c r="M71" s="31"/>
      <c r="N71" s="31">
        <v>0.9</v>
      </c>
      <c r="O71" s="31"/>
      <c r="P71" s="9">
        <f t="shared" si="63"/>
        <v>474.76799999999997</v>
      </c>
      <c r="Q71" s="9"/>
      <c r="R71" s="12" t="e">
        <f>#REF!*0.734</f>
        <v>#REF!</v>
      </c>
      <c r="S71" s="12"/>
      <c r="T71" s="12"/>
    </row>
    <row r="72" spans="1:20" ht="15" thickBot="1" x14ac:dyDescent="0.35">
      <c r="A72" s="8" t="s">
        <v>40</v>
      </c>
      <c r="C72" s="37">
        <v>4</v>
      </c>
      <c r="D72" s="4" t="s">
        <v>22</v>
      </c>
      <c r="E72" s="8" t="s">
        <v>73</v>
      </c>
      <c r="F72" s="9">
        <f t="shared" si="64"/>
        <v>118.69199999999999</v>
      </c>
      <c r="G72" s="31">
        <f t="shared" si="62"/>
        <v>3.14</v>
      </c>
      <c r="H72" s="4">
        <v>4</v>
      </c>
      <c r="I72" s="4">
        <v>5.8</v>
      </c>
      <c r="J72" s="31">
        <f t="shared" si="65"/>
        <v>210</v>
      </c>
      <c r="K72" s="4">
        <v>2</v>
      </c>
      <c r="L72" s="4"/>
      <c r="M72" s="4"/>
      <c r="N72" s="4">
        <v>0.9</v>
      </c>
      <c r="O72" s="4"/>
      <c r="P72" s="9">
        <f t="shared" si="63"/>
        <v>474.76799999999997</v>
      </c>
      <c r="Q72" s="9"/>
      <c r="R72" s="12" t="e">
        <f>#REF!*0.734</f>
        <v>#REF!</v>
      </c>
      <c r="S72" s="12"/>
      <c r="T72" s="12"/>
    </row>
    <row r="73" spans="1:20" ht="15" thickBot="1" x14ac:dyDescent="0.35">
      <c r="A73" s="8" t="s">
        <v>41</v>
      </c>
      <c r="C73" s="3">
        <v>5</v>
      </c>
      <c r="D73" s="31" t="s">
        <v>23</v>
      </c>
      <c r="E73" s="8" t="s">
        <v>74</v>
      </c>
      <c r="F73" s="9">
        <f t="shared" si="64"/>
        <v>75.978000000000009</v>
      </c>
      <c r="G73" s="31">
        <f t="shared" si="62"/>
        <v>2.0099999999999998</v>
      </c>
      <c r="H73" s="4">
        <v>6</v>
      </c>
      <c r="I73" s="4">
        <v>5.8</v>
      </c>
      <c r="J73" s="31">
        <f t="shared" si="65"/>
        <v>210</v>
      </c>
      <c r="K73" s="31">
        <v>2</v>
      </c>
      <c r="L73" s="31"/>
      <c r="M73" s="31"/>
      <c r="N73" s="31">
        <v>0.9</v>
      </c>
      <c r="O73" s="31"/>
      <c r="P73" s="9">
        <f t="shared" si="63"/>
        <v>455.86800000000005</v>
      </c>
      <c r="Q73" s="9"/>
      <c r="R73" s="12" t="e">
        <f>#REF!*0.734</f>
        <v>#REF!</v>
      </c>
      <c r="S73" s="12"/>
      <c r="T73" s="12"/>
    </row>
    <row r="74" spans="1:20" ht="15" thickBot="1" x14ac:dyDescent="0.35">
      <c r="A74" s="8" t="s">
        <v>42</v>
      </c>
      <c r="C74" s="37">
        <v>6</v>
      </c>
      <c r="D74" s="4" t="s">
        <v>23</v>
      </c>
      <c r="E74" s="8" t="s">
        <v>75</v>
      </c>
      <c r="F74" s="9">
        <f t="shared" si="64"/>
        <v>75.978000000000009</v>
      </c>
      <c r="G74" s="31">
        <f t="shared" si="62"/>
        <v>2.0099999999999998</v>
      </c>
      <c r="H74" s="4">
        <v>4</v>
      </c>
      <c r="I74" s="4">
        <v>5.8</v>
      </c>
      <c r="J74" s="31">
        <f t="shared" si="65"/>
        <v>210</v>
      </c>
      <c r="K74" s="4">
        <v>2</v>
      </c>
      <c r="L74" s="4"/>
      <c r="M74" s="4"/>
      <c r="N74" s="4">
        <v>0.9</v>
      </c>
      <c r="O74" s="4"/>
      <c r="P74" s="9">
        <f t="shared" si="63"/>
        <v>303.91200000000003</v>
      </c>
      <c r="Q74" s="9"/>
      <c r="R74" s="12" t="e">
        <f>#REF!*0.734</f>
        <v>#REF!</v>
      </c>
      <c r="S74" s="12"/>
      <c r="T74" s="12"/>
    </row>
    <row r="75" spans="1:20" ht="15" thickBot="1" x14ac:dyDescent="0.35">
      <c r="A75" s="8" t="s">
        <v>43</v>
      </c>
      <c r="C75" s="3">
        <v>7</v>
      </c>
      <c r="D75" s="31" t="s">
        <v>23</v>
      </c>
      <c r="E75" s="8" t="s">
        <v>76</v>
      </c>
      <c r="F75" s="9">
        <f t="shared" si="64"/>
        <v>75.978000000000009</v>
      </c>
      <c r="G75" s="31">
        <f t="shared" si="62"/>
        <v>2.0099999999999998</v>
      </c>
      <c r="H75" s="4">
        <v>4</v>
      </c>
      <c r="I75" s="4">
        <v>5.8</v>
      </c>
      <c r="J75" s="31">
        <f t="shared" si="65"/>
        <v>210</v>
      </c>
      <c r="K75" s="31">
        <v>2</v>
      </c>
      <c r="L75" s="31"/>
      <c r="M75" s="31"/>
      <c r="N75" s="31">
        <v>0.9</v>
      </c>
      <c r="O75" s="31"/>
      <c r="P75" s="9">
        <f t="shared" si="63"/>
        <v>303.91200000000003</v>
      </c>
      <c r="Q75" s="9"/>
      <c r="R75" s="12" t="e">
        <f>#REF!*0.734</f>
        <v>#REF!</v>
      </c>
      <c r="S75" s="12"/>
      <c r="T75" s="12"/>
    </row>
    <row r="76" spans="1:20" ht="15" thickBot="1" x14ac:dyDescent="0.35">
      <c r="A76" s="8" t="s">
        <v>44</v>
      </c>
      <c r="C76" s="37">
        <v>8</v>
      </c>
      <c r="D76" s="4" t="s">
        <v>23</v>
      </c>
      <c r="E76" s="8" t="s">
        <v>77</v>
      </c>
      <c r="F76" s="9">
        <f t="shared" si="64"/>
        <v>75.978000000000009</v>
      </c>
      <c r="G76" s="31">
        <f t="shared" si="62"/>
        <v>2.0099999999999998</v>
      </c>
      <c r="H76" s="4">
        <v>4</v>
      </c>
      <c r="I76" s="4">
        <v>5.8</v>
      </c>
      <c r="J76" s="31">
        <f t="shared" si="65"/>
        <v>210</v>
      </c>
      <c r="K76" s="4">
        <v>2</v>
      </c>
      <c r="L76" s="4"/>
      <c r="M76" s="4"/>
      <c r="N76" s="4">
        <v>0.9</v>
      </c>
      <c r="O76" s="4"/>
      <c r="P76" s="9">
        <f t="shared" si="63"/>
        <v>303.91200000000003</v>
      </c>
      <c r="Q76" s="9"/>
      <c r="R76" s="12" t="e">
        <f>#REF!*0.734</f>
        <v>#REF!</v>
      </c>
      <c r="S76" s="12"/>
      <c r="T76" s="12"/>
    </row>
    <row r="77" spans="1:20" ht="15" thickBot="1" x14ac:dyDescent="0.35">
      <c r="A77" s="8" t="s">
        <v>45</v>
      </c>
      <c r="C77" s="37"/>
      <c r="D77" s="4"/>
      <c r="E77" s="8"/>
      <c r="F77" s="9"/>
      <c r="G77" s="31"/>
      <c r="H77" s="4"/>
      <c r="I77" s="4"/>
      <c r="J77" s="31"/>
      <c r="K77" s="4"/>
      <c r="L77" s="4"/>
      <c r="M77" s="4"/>
      <c r="N77" s="4"/>
      <c r="O77" s="4"/>
      <c r="P77" s="9"/>
      <c r="Q77" s="9"/>
      <c r="R77" s="12"/>
      <c r="S77" s="12"/>
      <c r="T77" s="12"/>
    </row>
    <row r="78" spans="1:20" ht="15" thickBot="1" x14ac:dyDescent="0.35">
      <c r="A78" s="8" t="s">
        <v>46</v>
      </c>
      <c r="C78" s="37"/>
      <c r="D78" s="4"/>
      <c r="E78" s="8"/>
      <c r="F78" s="9"/>
      <c r="G78" s="31"/>
      <c r="H78" s="4"/>
      <c r="I78" s="4"/>
      <c r="J78" s="31"/>
      <c r="K78" s="4"/>
      <c r="L78" s="4"/>
      <c r="M78" s="4"/>
      <c r="N78" s="4"/>
      <c r="O78" s="4"/>
      <c r="P78" s="9"/>
      <c r="Q78" s="9"/>
      <c r="R78" s="12"/>
      <c r="S78" s="12"/>
      <c r="T78" s="12"/>
    </row>
    <row r="79" spans="1:20" ht="15" customHeight="1" thickBot="1" x14ac:dyDescent="0.35">
      <c r="A79" s="8" t="s">
        <v>47</v>
      </c>
      <c r="C79" s="37"/>
      <c r="D79" s="31"/>
      <c r="E79" s="8"/>
      <c r="F79" s="9"/>
      <c r="G79" s="31"/>
      <c r="H79" s="4"/>
      <c r="I79" s="4"/>
      <c r="J79" s="31"/>
      <c r="K79" s="4"/>
      <c r="L79" s="4"/>
      <c r="M79" s="4"/>
      <c r="N79" s="4"/>
      <c r="O79" s="4"/>
      <c r="P79" s="9"/>
      <c r="Q79" s="9"/>
      <c r="R79" s="12"/>
      <c r="S79" s="12"/>
      <c r="T79" s="12"/>
    </row>
    <row r="80" spans="1:20" ht="15" thickBot="1" x14ac:dyDescent="0.35">
      <c r="A80" s="8" t="s">
        <v>49</v>
      </c>
    </row>
    <row r="81" spans="1:15" ht="15" thickBot="1" x14ac:dyDescent="0.35">
      <c r="A81" s="8" t="s">
        <v>48</v>
      </c>
      <c r="C81" s="76" t="s">
        <v>31</v>
      </c>
      <c r="D81" s="77"/>
      <c r="E81" s="77"/>
      <c r="F81" s="77"/>
      <c r="G81" s="77"/>
      <c r="H81" s="77"/>
      <c r="I81" s="77"/>
      <c r="J81" s="77"/>
      <c r="K81" s="78"/>
      <c r="L81" s="43"/>
      <c r="M81" s="43"/>
    </row>
    <row r="82" spans="1:15" ht="21.75" customHeight="1" x14ac:dyDescent="0.3">
      <c r="C82" s="72" t="s">
        <v>0</v>
      </c>
      <c r="D82" s="79" t="s">
        <v>10</v>
      </c>
      <c r="E82" s="72" t="s">
        <v>67</v>
      </c>
      <c r="F82" s="72" t="s">
        <v>32</v>
      </c>
      <c r="G82" s="72" t="s">
        <v>33</v>
      </c>
      <c r="H82" s="72" t="s">
        <v>34</v>
      </c>
      <c r="I82" s="74" t="s">
        <v>17</v>
      </c>
      <c r="J82" s="1" t="s">
        <v>18</v>
      </c>
      <c r="K82" s="72" t="s">
        <v>36</v>
      </c>
      <c r="L82" s="39"/>
      <c r="M82" s="39"/>
      <c r="N82" s="72" t="s">
        <v>37</v>
      </c>
      <c r="O82" s="43"/>
    </row>
    <row r="83" spans="1:15" ht="16.5" customHeight="1" thickBot="1" x14ac:dyDescent="0.35">
      <c r="C83" s="73"/>
      <c r="D83" s="80"/>
      <c r="E83" s="73"/>
      <c r="F83" s="73"/>
      <c r="G83" s="73"/>
      <c r="H83" s="73"/>
      <c r="I83" s="75"/>
      <c r="J83" s="2" t="s">
        <v>35</v>
      </c>
      <c r="K83" s="73"/>
      <c r="L83" s="37"/>
      <c r="M83" s="37"/>
      <c r="N83" s="73"/>
      <c r="O83" s="43"/>
    </row>
    <row r="84" spans="1:15" ht="45.75" customHeight="1" thickBot="1" x14ac:dyDescent="0.35">
      <c r="C84" s="3">
        <v>1</v>
      </c>
      <c r="D84" s="31" t="s">
        <v>22</v>
      </c>
      <c r="E84" s="8" t="s">
        <v>70</v>
      </c>
      <c r="F84" s="31">
        <v>475</v>
      </c>
      <c r="G84" s="31">
        <v>8</v>
      </c>
      <c r="H84" s="31">
        <v>6</v>
      </c>
      <c r="I84" s="31">
        <v>0.9</v>
      </c>
      <c r="J84" s="9">
        <f t="shared" ref="J84:J91" si="66">IF(D84="Болт М24",F84*G84*0.024*I84*H84,IF(D84="Болт М20",F84*G84*0.02*I84*H84,F84*G84*0.016*I84*H84))</f>
        <v>410.40000000000003</v>
      </c>
      <c r="K84" s="12" t="e">
        <f>R69</f>
        <v>#REF!</v>
      </c>
      <c r="L84" s="12"/>
      <c r="M84" s="12"/>
      <c r="N84" s="9" t="e">
        <f t="shared" ref="N84:N91" si="67">K84/J84*100</f>
        <v>#REF!</v>
      </c>
      <c r="O84" s="44"/>
    </row>
    <row r="85" spans="1:15" ht="20.55" customHeight="1" thickBot="1" x14ac:dyDescent="0.35">
      <c r="C85" s="37">
        <v>2</v>
      </c>
      <c r="D85" s="4" t="s">
        <v>22</v>
      </c>
      <c r="E85" s="8" t="s">
        <v>71</v>
      </c>
      <c r="F85" s="4">
        <v>475</v>
      </c>
      <c r="G85" s="4">
        <v>8</v>
      </c>
      <c r="H85" s="4">
        <v>4</v>
      </c>
      <c r="I85" s="4">
        <v>0.9</v>
      </c>
      <c r="J85" s="9">
        <f t="shared" si="66"/>
        <v>273.60000000000002</v>
      </c>
      <c r="K85" s="12" t="e">
        <f t="shared" ref="K85:K91" si="68">R70</f>
        <v>#REF!</v>
      </c>
      <c r="L85" s="12"/>
      <c r="M85" s="12"/>
      <c r="N85" s="9" t="e">
        <f t="shared" si="67"/>
        <v>#REF!</v>
      </c>
      <c r="O85" s="44"/>
    </row>
    <row r="86" spans="1:15" ht="15" thickBot="1" x14ac:dyDescent="0.35">
      <c r="A86" s="8" t="s">
        <v>39</v>
      </c>
      <c r="C86" s="3">
        <v>3</v>
      </c>
      <c r="D86" s="31" t="s">
        <v>22</v>
      </c>
      <c r="E86" s="8" t="s">
        <v>72</v>
      </c>
      <c r="F86" s="31">
        <v>475</v>
      </c>
      <c r="G86" s="4">
        <v>8</v>
      </c>
      <c r="H86" s="31">
        <v>4</v>
      </c>
      <c r="I86" s="31">
        <v>0.9</v>
      </c>
      <c r="J86" s="9">
        <f t="shared" si="66"/>
        <v>273.60000000000002</v>
      </c>
      <c r="K86" s="12" t="e">
        <f t="shared" si="68"/>
        <v>#REF!</v>
      </c>
      <c r="L86" s="12"/>
      <c r="M86" s="12"/>
      <c r="N86" s="9" t="e">
        <f t="shared" si="67"/>
        <v>#REF!</v>
      </c>
      <c r="O86" s="44"/>
    </row>
    <row r="87" spans="1:15" ht="15" thickBot="1" x14ac:dyDescent="0.35">
      <c r="A87" s="8" t="s">
        <v>40</v>
      </c>
      <c r="C87" s="37">
        <v>4</v>
      </c>
      <c r="D87" s="4" t="s">
        <v>22</v>
      </c>
      <c r="E87" s="8" t="s">
        <v>73</v>
      </c>
      <c r="F87" s="4">
        <v>475</v>
      </c>
      <c r="G87" s="4">
        <v>8</v>
      </c>
      <c r="H87" s="4">
        <v>4</v>
      </c>
      <c r="I87" s="4">
        <v>0.9</v>
      </c>
      <c r="J87" s="9">
        <f t="shared" si="66"/>
        <v>273.60000000000002</v>
      </c>
      <c r="K87" s="12" t="e">
        <f t="shared" si="68"/>
        <v>#REF!</v>
      </c>
      <c r="L87" s="12"/>
      <c r="M87" s="12"/>
      <c r="N87" s="9" t="e">
        <f t="shared" si="67"/>
        <v>#REF!</v>
      </c>
      <c r="O87" s="44"/>
    </row>
    <row r="88" spans="1:15" ht="15" thickBot="1" x14ac:dyDescent="0.35">
      <c r="A88" s="8" t="s">
        <v>41</v>
      </c>
      <c r="C88" s="3">
        <v>5</v>
      </c>
      <c r="D88" s="31" t="s">
        <v>23</v>
      </c>
      <c r="E88" s="8" t="s">
        <v>74</v>
      </c>
      <c r="F88" s="31">
        <v>475</v>
      </c>
      <c r="G88" s="4">
        <v>7</v>
      </c>
      <c r="H88" s="4">
        <v>6</v>
      </c>
      <c r="I88" s="31">
        <v>0.9</v>
      </c>
      <c r="J88" s="9">
        <f t="shared" si="66"/>
        <v>287.28000000000003</v>
      </c>
      <c r="K88" s="12" t="e">
        <f t="shared" si="68"/>
        <v>#REF!</v>
      </c>
      <c r="L88" s="12"/>
      <c r="M88" s="12"/>
      <c r="N88" s="9" t="e">
        <f t="shared" si="67"/>
        <v>#REF!</v>
      </c>
      <c r="O88" s="44"/>
    </row>
    <row r="89" spans="1:15" ht="15" thickBot="1" x14ac:dyDescent="0.35">
      <c r="A89" s="8" t="s">
        <v>42</v>
      </c>
      <c r="C89" s="37">
        <v>6</v>
      </c>
      <c r="D89" s="4" t="s">
        <v>23</v>
      </c>
      <c r="E89" s="8" t="s">
        <v>75</v>
      </c>
      <c r="F89" s="4">
        <v>475</v>
      </c>
      <c r="G89" s="4">
        <v>6</v>
      </c>
      <c r="H89" s="4">
        <v>4</v>
      </c>
      <c r="I89" s="4">
        <v>0.9</v>
      </c>
      <c r="J89" s="9">
        <f t="shared" si="66"/>
        <v>164.16</v>
      </c>
      <c r="K89" s="12" t="e">
        <f t="shared" si="68"/>
        <v>#REF!</v>
      </c>
      <c r="L89" s="12"/>
      <c r="M89" s="12"/>
      <c r="N89" s="9" t="e">
        <f t="shared" si="67"/>
        <v>#REF!</v>
      </c>
      <c r="O89" s="44"/>
    </row>
    <row r="90" spans="1:15" ht="15" thickBot="1" x14ac:dyDescent="0.35">
      <c r="A90" s="8" t="s">
        <v>43</v>
      </c>
      <c r="C90" s="3">
        <v>7</v>
      </c>
      <c r="D90" s="31" t="s">
        <v>23</v>
      </c>
      <c r="E90" s="8" t="s">
        <v>76</v>
      </c>
      <c r="F90" s="31">
        <v>475</v>
      </c>
      <c r="G90" s="4">
        <v>6</v>
      </c>
      <c r="H90" s="4">
        <v>4</v>
      </c>
      <c r="I90" s="31">
        <v>0.9</v>
      </c>
      <c r="J90" s="9">
        <f t="shared" si="66"/>
        <v>164.16</v>
      </c>
      <c r="K90" s="12" t="e">
        <f t="shared" si="68"/>
        <v>#REF!</v>
      </c>
      <c r="L90" s="12"/>
      <c r="M90" s="12"/>
      <c r="N90" s="9" t="e">
        <f t="shared" si="67"/>
        <v>#REF!</v>
      </c>
      <c r="O90" s="44"/>
    </row>
    <row r="91" spans="1:15" ht="15" thickBot="1" x14ac:dyDescent="0.35">
      <c r="A91" s="8" t="s">
        <v>44</v>
      </c>
      <c r="C91" s="37">
        <v>8</v>
      </c>
      <c r="D91" s="4" t="s">
        <v>23</v>
      </c>
      <c r="E91" s="8" t="s">
        <v>77</v>
      </c>
      <c r="F91" s="4">
        <v>475</v>
      </c>
      <c r="G91" s="4">
        <v>6</v>
      </c>
      <c r="H91" s="4">
        <v>4</v>
      </c>
      <c r="I91" s="4">
        <v>0.9</v>
      </c>
      <c r="J91" s="9">
        <f t="shared" si="66"/>
        <v>164.16</v>
      </c>
      <c r="K91" s="12" t="e">
        <f t="shared" si="68"/>
        <v>#REF!</v>
      </c>
      <c r="L91" s="12"/>
      <c r="M91" s="12"/>
      <c r="N91" s="9" t="e">
        <f t="shared" si="67"/>
        <v>#REF!</v>
      </c>
      <c r="O91" s="44"/>
    </row>
    <row r="92" spans="1:15" ht="15" thickBot="1" x14ac:dyDescent="0.35">
      <c r="A92" s="8" t="s">
        <v>45</v>
      </c>
      <c r="C92" s="3"/>
      <c r="D92" s="31"/>
      <c r="E92" s="31"/>
      <c r="F92" s="31"/>
      <c r="G92" s="4"/>
      <c r="H92" s="31"/>
      <c r="I92" s="31"/>
      <c r="J92" s="9"/>
      <c r="K92" s="9"/>
      <c r="L92" s="9"/>
      <c r="M92" s="9"/>
      <c r="N92" s="9"/>
      <c r="O92" s="44"/>
    </row>
    <row r="93" spans="1:15" ht="15" thickBot="1" x14ac:dyDescent="0.35">
      <c r="A93" s="8" t="s">
        <v>46</v>
      </c>
      <c r="C93" s="37"/>
      <c r="D93" s="4"/>
      <c r="E93" s="4"/>
      <c r="F93" s="4"/>
      <c r="G93" s="4"/>
      <c r="H93" s="31"/>
      <c r="I93" s="4"/>
      <c r="J93" s="9"/>
      <c r="K93" s="9"/>
      <c r="L93" s="9"/>
      <c r="M93" s="9"/>
      <c r="N93" s="9"/>
      <c r="O93" s="44"/>
    </row>
    <row r="94" spans="1:15" ht="15" thickBot="1" x14ac:dyDescent="0.35">
      <c r="A94" s="8" t="s">
        <v>47</v>
      </c>
      <c r="C94" s="37"/>
      <c r="D94" s="4"/>
      <c r="E94" s="4"/>
      <c r="F94" s="4"/>
      <c r="G94" s="4"/>
      <c r="H94" s="31"/>
      <c r="I94" s="4"/>
      <c r="J94" s="9"/>
      <c r="K94" s="9"/>
      <c r="L94" s="9"/>
      <c r="M94" s="9"/>
      <c r="N94" s="9"/>
      <c r="O94" s="44"/>
    </row>
    <row r="95" spans="1:15" ht="15" thickBot="1" x14ac:dyDescent="0.35">
      <c r="A95" s="8" t="s">
        <v>49</v>
      </c>
    </row>
    <row r="96" spans="1:15" ht="15" thickBot="1" x14ac:dyDescent="0.35">
      <c r="A96" s="8" t="s">
        <v>48</v>
      </c>
    </row>
    <row r="104" spans="33:41" x14ac:dyDescent="0.3">
      <c r="AG104" s="35"/>
      <c r="AH104" s="35"/>
      <c r="AI104" s="35"/>
      <c r="AJ104" s="35"/>
      <c r="AK104" s="35"/>
      <c r="AL104" s="35"/>
      <c r="AM104" s="35"/>
      <c r="AN104" s="35"/>
      <c r="AO104" s="35"/>
    </row>
    <row r="105" spans="33:41" x14ac:dyDescent="0.3">
      <c r="AG105" s="35"/>
      <c r="AH105" s="35"/>
      <c r="AI105" s="35"/>
      <c r="AJ105" s="35"/>
      <c r="AK105" s="35"/>
      <c r="AL105" s="35"/>
      <c r="AM105" s="35"/>
      <c r="AN105" s="35"/>
      <c r="AO105" s="35"/>
    </row>
    <row r="106" spans="33:41" x14ac:dyDescent="0.3">
      <c r="AG106" s="35"/>
      <c r="AH106" s="35"/>
      <c r="AI106" s="35"/>
      <c r="AJ106" s="35"/>
      <c r="AK106" s="35"/>
      <c r="AL106" s="35"/>
      <c r="AM106" s="35"/>
      <c r="AN106" s="35"/>
      <c r="AO106" s="35"/>
    </row>
    <row r="107" spans="33:41" x14ac:dyDescent="0.3">
      <c r="AG107" s="35"/>
      <c r="AH107" s="35"/>
      <c r="AI107" s="35"/>
      <c r="AJ107" s="35"/>
      <c r="AK107" s="35"/>
      <c r="AL107" s="35"/>
      <c r="AM107" s="35"/>
      <c r="AN107" s="35"/>
      <c r="AO107" s="35"/>
    </row>
    <row r="108" spans="33:41" x14ac:dyDescent="0.3">
      <c r="AG108" s="35"/>
      <c r="AH108" s="35"/>
      <c r="AI108" s="35"/>
      <c r="AJ108" s="35"/>
      <c r="AK108" s="35"/>
      <c r="AL108" s="35"/>
      <c r="AM108" s="35"/>
      <c r="AN108" s="35"/>
      <c r="AO108" s="35"/>
    </row>
    <row r="109" spans="33:41" x14ac:dyDescent="0.3">
      <c r="AG109" s="35"/>
      <c r="AH109" s="35"/>
      <c r="AI109" s="35"/>
      <c r="AJ109" s="35"/>
      <c r="AK109" s="35"/>
      <c r="AL109" s="35"/>
      <c r="AM109" s="35"/>
      <c r="AN109" s="35"/>
      <c r="AO109" s="35"/>
    </row>
    <row r="110" spans="33:41" x14ac:dyDescent="0.3">
      <c r="AG110" s="35"/>
      <c r="AH110" s="35"/>
      <c r="AI110" s="35"/>
      <c r="AJ110" s="35"/>
      <c r="AK110" s="35"/>
      <c r="AL110" s="35"/>
      <c r="AM110" s="35"/>
      <c r="AN110" s="35"/>
      <c r="AO110" s="35"/>
    </row>
    <row r="111" spans="33:41" x14ac:dyDescent="0.3">
      <c r="AG111" s="35"/>
      <c r="AH111" s="35"/>
      <c r="AI111" s="35"/>
      <c r="AJ111" s="35"/>
      <c r="AK111" s="35"/>
      <c r="AL111" s="35"/>
      <c r="AM111" s="35"/>
      <c r="AN111" s="35"/>
      <c r="AO111" s="35"/>
    </row>
  </sheetData>
  <mergeCells count="81">
    <mergeCell ref="AC15:AM15"/>
    <mergeCell ref="AC19:AM19"/>
    <mergeCell ref="AC24:AM24"/>
    <mergeCell ref="AC28:AM28"/>
    <mergeCell ref="Y6:Y9"/>
    <mergeCell ref="AF6:AF9"/>
    <mergeCell ref="AC6:AC9"/>
    <mergeCell ref="AD6:AD9"/>
    <mergeCell ref="AE6:AE9"/>
    <mergeCell ref="AK6:AM7"/>
    <mergeCell ref="AK8:AK9"/>
    <mergeCell ref="AL8:AL9"/>
    <mergeCell ref="AM8:AM9"/>
    <mergeCell ref="AG6:AG9"/>
    <mergeCell ref="AH6:AJ7"/>
    <mergeCell ref="AH8:AH9"/>
    <mergeCell ref="D1:G1"/>
    <mergeCell ref="D2:G2"/>
    <mergeCell ref="Q6:Q9"/>
    <mergeCell ref="L6:L9"/>
    <mergeCell ref="M6:M9"/>
    <mergeCell ref="O6:O9"/>
    <mergeCell ref="D6:D9"/>
    <mergeCell ref="E6:E9"/>
    <mergeCell ref="F6:F9"/>
    <mergeCell ref="G6:G9"/>
    <mergeCell ref="H6:H9"/>
    <mergeCell ref="I6:I9"/>
    <mergeCell ref="J6:J9"/>
    <mergeCell ref="K6:K9"/>
    <mergeCell ref="N6:N9"/>
    <mergeCell ref="P6:P9"/>
    <mergeCell ref="N82:N83"/>
    <mergeCell ref="K67:K68"/>
    <mergeCell ref="N67:N68"/>
    <mergeCell ref="C67:C68"/>
    <mergeCell ref="D67:D68"/>
    <mergeCell ref="E67:E68"/>
    <mergeCell ref="K82:K83"/>
    <mergeCell ref="C81:K81"/>
    <mergeCell ref="C82:C83"/>
    <mergeCell ref="D82:D83"/>
    <mergeCell ref="E82:E83"/>
    <mergeCell ref="F82:F83"/>
    <mergeCell ref="G82:G83"/>
    <mergeCell ref="H82:H83"/>
    <mergeCell ref="I82:I83"/>
    <mergeCell ref="I51:I52"/>
    <mergeCell ref="J51:J52"/>
    <mergeCell ref="K51:K52"/>
    <mergeCell ref="G67:G68"/>
    <mergeCell ref="H67:H68"/>
    <mergeCell ref="I67:I68"/>
    <mergeCell ref="J67:J68"/>
    <mergeCell ref="C66:R66"/>
    <mergeCell ref="P51:P52"/>
    <mergeCell ref="R51:R52"/>
    <mergeCell ref="C51:C52"/>
    <mergeCell ref="D51:D52"/>
    <mergeCell ref="E51:E52"/>
    <mergeCell ref="G51:G52"/>
    <mergeCell ref="H51:H52"/>
    <mergeCell ref="R67:R68"/>
    <mergeCell ref="C50:R50"/>
    <mergeCell ref="C15:Z15"/>
    <mergeCell ref="C19:Z19"/>
    <mergeCell ref="C24:Z24"/>
    <mergeCell ref="C28:Z28"/>
    <mergeCell ref="AI8:AI9"/>
    <mergeCell ref="AJ8:AJ9"/>
    <mergeCell ref="S6:S9"/>
    <mergeCell ref="V6:V9"/>
    <mergeCell ref="C11:Z11"/>
    <mergeCell ref="W6:W9"/>
    <mergeCell ref="T6:T9"/>
    <mergeCell ref="Z6:Z9"/>
    <mergeCell ref="X6:X9"/>
    <mergeCell ref="U6:U9"/>
    <mergeCell ref="C6:C9"/>
    <mergeCell ref="AC11:AM11"/>
    <mergeCell ref="R6:R9"/>
  </mergeCells>
  <phoneticPr fontId="21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Розрахунок елементів ферми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Цибулевський</dc:creator>
  <cp:lastModifiedBy>Acer Aspire</cp:lastModifiedBy>
  <cp:lastPrinted>2021-03-30T11:20:25Z</cp:lastPrinted>
  <dcterms:created xsi:type="dcterms:W3CDTF">2020-11-09T14:50:33Z</dcterms:created>
  <dcterms:modified xsi:type="dcterms:W3CDTF">2024-06-05T20:59:11Z</dcterms:modified>
</cp:coreProperties>
</file>