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i\IP Bass\ZDTU\GEF\192\Технологія будівельного виробництва\Курсовий\"/>
    </mc:Choice>
  </mc:AlternateContent>
  <xr:revisionPtr revIDLastSave="0" documentId="13_ncr:1_{6F55A853-E76C-47A8-A0FC-4EE2DD0B8FEC}" xr6:coauthVersionLast="47" xr6:coauthVersionMax="47" xr10:uidLastSave="{00000000-0000-0000-0000-000000000000}"/>
  <bookViews>
    <workbookView xWindow="828" yWindow="-108" windowWidth="22320" windowHeight="13176" activeTab="5" xr2:uid="{48DF8BD1-45AA-400F-B0C9-7F09E291C941}"/>
  </bookViews>
  <sheets>
    <sheet name="Верт.план" sheetId="2" r:id="rId1"/>
    <sheet name="Фундаменти" sheetId="1" r:id="rId2"/>
    <sheet name="Розм.фунд" sheetId="4" r:id="rId3"/>
    <sheet name="Довідники" sheetId="6" r:id="rId4"/>
    <sheet name="Лист1" sheetId="3" r:id="rId5"/>
    <sheet name="Лист3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2" i="5" l="1"/>
  <c r="T21" i="5"/>
  <c r="U22" i="5"/>
  <c r="K22" i="5"/>
  <c r="K21" i="5"/>
  <c r="Q22" i="5"/>
  <c r="Q21" i="5"/>
  <c r="P22" i="5"/>
  <c r="P21" i="5"/>
  <c r="M22" i="5"/>
  <c r="L22" i="5"/>
  <c r="J21" i="5"/>
  <c r="M21" i="5"/>
  <c r="L21" i="5"/>
  <c r="F16" i="5"/>
  <c r="E8" i="5"/>
  <c r="F14" i="5" s="1"/>
  <c r="E4" i="5"/>
  <c r="F47" i="3"/>
  <c r="AB18" i="3"/>
  <c r="AB17" i="3"/>
  <c r="V17" i="3"/>
  <c r="V18" i="3" s="1"/>
  <c r="AE10" i="3"/>
  <c r="AE11" i="3"/>
  <c r="Z14" i="3"/>
  <c r="W14" i="3"/>
  <c r="T14" i="3"/>
  <c r="AD11" i="3"/>
  <c r="AD10" i="3"/>
  <c r="Z13" i="3"/>
  <c r="W13" i="3"/>
  <c r="T13" i="3"/>
  <c r="T11" i="3"/>
  <c r="V11" i="3"/>
  <c r="W11" i="3"/>
  <c r="Y11" i="3"/>
  <c r="Z11" i="3"/>
  <c r="AB11" i="3"/>
  <c r="AB10" i="3"/>
  <c r="Z10" i="3"/>
  <c r="W10" i="3"/>
  <c r="T10" i="3"/>
  <c r="H43" i="3"/>
  <c r="I44" i="3"/>
  <c r="O32" i="3"/>
  <c r="O33" i="3"/>
  <c r="O34" i="3"/>
  <c r="O31" i="3"/>
  <c r="P18" i="3"/>
  <c r="M18" i="3"/>
  <c r="J18" i="3"/>
  <c r="G18" i="3"/>
  <c r="P13" i="3"/>
  <c r="M13" i="3"/>
  <c r="J13" i="3"/>
  <c r="G13" i="3"/>
  <c r="P8" i="3"/>
  <c r="M8" i="3"/>
  <c r="J8" i="3"/>
  <c r="G8" i="3"/>
  <c r="P19" i="3"/>
  <c r="M19" i="3"/>
  <c r="J19" i="3"/>
  <c r="G19" i="3"/>
  <c r="P14" i="3"/>
  <c r="M14" i="3"/>
  <c r="J14" i="3"/>
  <c r="G14" i="3"/>
  <c r="P9" i="3"/>
  <c r="M9" i="3"/>
  <c r="J9" i="3"/>
  <c r="G9" i="3"/>
  <c r="F20" i="5" l="1"/>
  <c r="F23" i="5"/>
  <c r="F18" i="5"/>
  <c r="J22" i="5"/>
  <c r="K6" i="5" s="1"/>
  <c r="E27" i="5"/>
  <c r="F22" i="5"/>
  <c r="E28" i="5" s="1"/>
  <c r="O35" i="3"/>
  <c r="E2" i="3"/>
  <c r="C2" i="3"/>
  <c r="B2" i="3"/>
  <c r="F13" i="5" l="1"/>
  <c r="F21" i="5"/>
  <c r="E26" i="5" s="1"/>
  <c r="L13" i="5"/>
  <c r="G2" i="3"/>
  <c r="E25" i="5" l="1"/>
  <c r="L14" i="5"/>
  <c r="K5" i="5" s="1"/>
  <c r="O18" i="3"/>
  <c r="O13" i="3"/>
  <c r="O8" i="3"/>
  <c r="L13" i="3"/>
  <c r="I13" i="3"/>
  <c r="F18" i="3"/>
  <c r="F13" i="3"/>
  <c r="F8" i="3"/>
  <c r="L18" i="3"/>
  <c r="I18" i="3"/>
  <c r="K7" i="5" l="1"/>
  <c r="K8" i="5" s="1"/>
  <c r="D29" i="3"/>
  <c r="C27" i="3"/>
  <c r="C30" i="3"/>
  <c r="F26" i="3"/>
  <c r="C25" i="3"/>
  <c r="E8" i="3"/>
  <c r="D6" i="3"/>
  <c r="F7" i="3"/>
  <c r="C28" i="3"/>
  <c r="D9" i="3"/>
  <c r="E13" i="3"/>
  <c r="D14" i="3"/>
  <c r="R9" i="3"/>
  <c r="O7" i="3"/>
  <c r="R6" i="3"/>
  <c r="Q8" i="3"/>
  <c r="E27" i="3"/>
  <c r="I20" i="3"/>
  <c r="K21" i="3"/>
  <c r="C32" i="3"/>
  <c r="D21" i="3"/>
  <c r="H21" i="3"/>
  <c r="E18" i="3"/>
  <c r="D17" i="3"/>
  <c r="F20" i="3"/>
  <c r="Q13" i="3"/>
  <c r="R12" i="3"/>
  <c r="N21" i="3"/>
  <c r="L20" i="3"/>
  <c r="D34" i="3"/>
  <c r="O20" i="3"/>
  <c r="R17" i="3"/>
  <c r="Q18" i="3"/>
  <c r="R21" i="3"/>
  <c r="H31" i="3"/>
  <c r="P31" i="3" s="1"/>
  <c r="E34" i="3"/>
  <c r="C31" i="3"/>
  <c r="D32" i="3"/>
  <c r="C33" i="3"/>
  <c r="H33" i="3" s="1"/>
  <c r="P33" i="3" s="1"/>
  <c r="C34" i="3"/>
  <c r="D33" i="3"/>
  <c r="D28" i="3"/>
  <c r="C29" i="3"/>
  <c r="E25" i="3"/>
  <c r="F25" i="3"/>
  <c r="C26" i="3"/>
  <c r="L8" i="3"/>
  <c r="N6" i="3" l="1"/>
  <c r="L7" i="3"/>
  <c r="D27" i="3"/>
  <c r="H27" i="3" s="1"/>
  <c r="P27" i="3" s="1"/>
  <c r="H34" i="3"/>
  <c r="P34" i="3" s="1"/>
  <c r="H29" i="3"/>
  <c r="P29" i="3" s="1"/>
  <c r="E26" i="3"/>
  <c r="H32" i="3"/>
  <c r="P32" i="3" s="1"/>
  <c r="H28" i="3"/>
  <c r="P28" i="3" s="1"/>
  <c r="H30" i="3"/>
  <c r="P30" i="3" s="1"/>
  <c r="I8" i="3"/>
  <c r="D26" i="3" l="1"/>
  <c r="H26" i="3" s="1"/>
  <c r="P26" i="3" s="1"/>
  <c r="I7" i="3"/>
  <c r="K6" i="3"/>
  <c r="H6" i="3"/>
  <c r="D25" i="3"/>
  <c r="H25" i="3" s="1"/>
  <c r="P25" i="3" s="1"/>
  <c r="I41" i="3" l="1"/>
  <c r="H41" i="3"/>
  <c r="B9" i="3"/>
  <c r="H2" i="3" s="1"/>
  <c r="I2" i="3" s="1"/>
  <c r="B8" i="3"/>
  <c r="I40" i="3" s="1"/>
  <c r="B7" i="3"/>
  <c r="H40" i="3" s="1"/>
  <c r="H42" i="3" l="1"/>
  <c r="I4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IP Bass</author>
  </authors>
  <commentList>
    <comment ref="K1" authorId="0" shapeId="0" xr:uid="{5DAFE987-152B-4DD3-9999-D6C1CE7F84D8}">
      <text>
        <r>
          <rPr>
            <b/>
            <sz val="9"/>
            <color indexed="81"/>
            <rFont val="Tahoma"/>
            <family val="2"/>
            <charset val="204"/>
          </rPr>
          <t>IP Bass:</t>
        </r>
        <r>
          <rPr>
            <sz val="9"/>
            <color indexed="81"/>
            <rFont val="Tahoma"/>
            <family val="2"/>
            <charset val="204"/>
          </rPr>
          <t xml:space="preserve">
Ширину збільшити на 1 м для фундаментів спарених колон</t>
        </r>
      </text>
    </comment>
    <comment ref="G2" authorId="0" shapeId="0" xr:uid="{5A1FB378-9F58-4A67-BA30-EE385F90F8BC}">
      <text>
        <r>
          <rPr>
            <b/>
            <sz val="9"/>
            <color indexed="81"/>
            <rFont val="Tahoma"/>
            <family val="2"/>
            <charset val="204"/>
          </rPr>
          <t>IP Bass:</t>
        </r>
        <r>
          <rPr>
            <sz val="9"/>
            <color indexed="81"/>
            <rFont val="Tahoma"/>
            <family val="2"/>
            <charset val="204"/>
          </rPr>
          <t xml:space="preserve">
Ширину збільшити на 1 м для фундаментів спарених колон</t>
        </r>
      </text>
    </comment>
    <comment ref="J47" authorId="0" shapeId="0" xr:uid="{C34995D2-B9E1-4CF4-B1B4-F86B872B0C81}">
      <text>
        <r>
          <rPr>
            <b/>
            <sz val="9"/>
            <color indexed="81"/>
            <rFont val="Tahoma"/>
            <family val="2"/>
            <charset val="204"/>
          </rPr>
          <t>IP Bass:</t>
        </r>
        <r>
          <rPr>
            <sz val="9"/>
            <color indexed="81"/>
            <rFont val="Tahoma"/>
            <family val="2"/>
            <charset val="204"/>
          </rPr>
          <t xml:space="preserve">
Верхня сходинка - 450
Нижня сходинка - 300</t>
        </r>
      </text>
    </comment>
    <comment ref="J48" authorId="0" shapeId="0" xr:uid="{81B3E8E6-DE33-484E-B8A4-A32DB0BF8B3A}">
      <text>
        <r>
          <rPr>
            <b/>
            <sz val="9"/>
            <color indexed="81"/>
            <rFont val="Tahoma"/>
            <family val="2"/>
            <charset val="204"/>
          </rPr>
          <t>IP Bass:</t>
        </r>
        <r>
          <rPr>
            <sz val="9"/>
            <color indexed="81"/>
            <rFont val="Tahoma"/>
            <family val="2"/>
            <charset val="204"/>
          </rPr>
          <t xml:space="preserve">
Верхня сходинка - 450
Нижня сходинка - 300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IP Bass</author>
  </authors>
  <commentList>
    <comment ref="I5" authorId="0" shapeId="0" xr:uid="{D776C9E0-4CDA-4D8B-86E4-1071EE35F34C}">
      <text>
        <r>
          <rPr>
            <b/>
            <sz val="9"/>
            <color indexed="81"/>
            <rFont val="Tahoma"/>
            <charset val="1"/>
          </rPr>
          <t>IP Bass:</t>
        </r>
        <r>
          <rPr>
            <sz val="9"/>
            <color indexed="81"/>
            <rFont val="Tahoma"/>
            <charset val="1"/>
          </rPr>
          <t xml:space="preserve">
Сюди вручну перенести проектну відмітку Нср</t>
        </r>
      </text>
    </comment>
    <comment ref="D6" authorId="0" shapeId="0" xr:uid="{B0D8BC76-BAAE-4EB0-8EA8-03301E94F45F}">
      <text>
        <r>
          <rPr>
            <b/>
            <sz val="9"/>
            <color indexed="81"/>
            <rFont val="Tahoma"/>
            <charset val="1"/>
          </rPr>
          <t>IP Bass:</t>
        </r>
        <r>
          <rPr>
            <sz val="9"/>
            <color indexed="81"/>
            <rFont val="Tahoma"/>
            <charset val="1"/>
          </rPr>
          <t xml:space="preserve">
Об'єм фігур відкосів</t>
        </r>
      </text>
    </comment>
    <comment ref="E8" authorId="0" shapeId="0" xr:uid="{BF7ED769-08F6-4637-A1E2-96F595DBE793}">
      <text>
        <r>
          <rPr>
            <b/>
            <sz val="9"/>
            <color indexed="81"/>
            <rFont val="Tahoma"/>
            <charset val="1"/>
          </rPr>
          <t>IP Bass:</t>
        </r>
        <r>
          <rPr>
            <sz val="9"/>
            <color indexed="81"/>
            <rFont val="Tahoma"/>
            <charset val="1"/>
          </rPr>
          <t xml:space="preserve">
Горизонтальні закладення відкосів</t>
        </r>
      </text>
    </comment>
    <comment ref="F8" authorId="0" shapeId="0" xr:uid="{D7B634C4-AFD1-49A2-87F7-1C5BB90D58B4}">
      <text>
        <r>
          <rPr>
            <b/>
            <sz val="9"/>
            <color indexed="81"/>
            <rFont val="Tahoma"/>
            <charset val="1"/>
          </rPr>
          <t>IP Bass:</t>
        </r>
        <r>
          <rPr>
            <sz val="9"/>
            <color indexed="81"/>
            <rFont val="Tahoma"/>
            <charset val="1"/>
          </rPr>
          <t xml:space="preserve">
Робочі відмітки</t>
        </r>
      </text>
    </comment>
    <comment ref="G8" authorId="0" shapeId="0" xr:uid="{B4B1623B-9E45-4920-A0EA-D684D987129D}">
      <text>
        <r>
          <rPr>
            <b/>
            <sz val="9"/>
            <color indexed="81"/>
            <rFont val="Tahoma"/>
            <charset val="1"/>
          </rPr>
          <t>IP Bass:</t>
        </r>
        <r>
          <rPr>
            <sz val="9"/>
            <color indexed="81"/>
            <rFont val="Tahoma"/>
            <charset val="1"/>
          </rPr>
          <t xml:space="preserve">
Проектні відмітки</t>
        </r>
      </text>
    </comment>
    <comment ref="G9" authorId="0" shapeId="0" xr:uid="{E1D612D2-4EC4-448F-AB52-2E993721C88D}">
      <text>
        <r>
          <rPr>
            <b/>
            <sz val="9"/>
            <color indexed="81"/>
            <rFont val="Tahoma"/>
            <charset val="1"/>
          </rPr>
          <t>IP Bass:</t>
        </r>
        <r>
          <rPr>
            <sz val="9"/>
            <color indexed="81"/>
            <rFont val="Tahoma"/>
            <charset val="1"/>
          </rPr>
          <t xml:space="preserve">
Відмітки рель'єфу</t>
        </r>
      </text>
    </comment>
  </commentList>
</comments>
</file>

<file path=xl/sharedStrings.xml><?xml version="1.0" encoding="utf-8"?>
<sst xmlns="http://schemas.openxmlformats.org/spreadsheetml/2006/main" count="808" uniqueCount="294">
  <si>
    <t>№вар</t>
  </si>
  <si>
    <t>Рельєф</t>
  </si>
  <si>
    <t>2х3</t>
  </si>
  <si>
    <t>3х4</t>
  </si>
  <si>
    <t>3х3</t>
  </si>
  <si>
    <t>К-ть квадратів</t>
  </si>
  <si>
    <t>Сторона квадрату</t>
  </si>
  <si>
    <t>Тип планування</t>
  </si>
  <si>
    <t>Заданий баланс</t>
  </si>
  <si>
    <t>Задана відмітка</t>
  </si>
  <si>
    <t>Значення</t>
  </si>
  <si>
    <t>№ варіанту</t>
  </si>
  <si>
    <t xml:space="preserve">Планувальне рішення будівлі </t>
  </si>
  <si>
    <t>Марки фундаментів під колони
(умовні)</t>
  </si>
  <si>
    <t>Ґрунт на
майданчику</t>
  </si>
  <si>
    <t>Довжина
секцій</t>
  </si>
  <si>
    <t>К-сть секцій</t>
  </si>
  <si>
    <t>Крайніх
рядів</t>
  </si>
  <si>
    <t>Середніх
рядів</t>
  </si>
  <si>
    <t>Торцевого
фахверка</t>
  </si>
  <si>
    <t>ФА-2</t>
  </si>
  <si>
    <t>ФА-9</t>
  </si>
  <si>
    <t>ФА-3</t>
  </si>
  <si>
    <t>ФА-10</t>
  </si>
  <si>
    <t>ФА-12</t>
  </si>
  <si>
    <t>ФА-17</t>
  </si>
  <si>
    <t>ФА-27</t>
  </si>
  <si>
    <t>ФА-39</t>
  </si>
  <si>
    <t>ФБ-14</t>
  </si>
  <si>
    <t>ФА-42</t>
  </si>
  <si>
    <t>ФБ-16</t>
  </si>
  <si>
    <t>ФБ-12</t>
  </si>
  <si>
    <t>ФБ-26</t>
  </si>
  <si>
    <t>ФБ-32</t>
  </si>
  <si>
    <t>ФВ-1</t>
  </si>
  <si>
    <t>ФВ-2</t>
  </si>
  <si>
    <t>ФА-6</t>
  </si>
  <si>
    <t>ФА-13</t>
  </si>
  <si>
    <t>ФА-7</t>
  </si>
  <si>
    <t>ФА-14</t>
  </si>
  <si>
    <t>ФА-16</t>
  </si>
  <si>
    <t>ФА-21</t>
  </si>
  <si>
    <t>ФА-31</t>
  </si>
  <si>
    <t>ФА-41</t>
  </si>
  <si>
    <t>ФБ-17</t>
  </si>
  <si>
    <t>ФА-44</t>
  </si>
  <si>
    <t>ФБ-18</t>
  </si>
  <si>
    <t>ФБ-29</t>
  </si>
  <si>
    <t>ФБ-33</t>
  </si>
  <si>
    <t>ФВ-3</t>
  </si>
  <si>
    <t>ФВ-5</t>
  </si>
  <si>
    <t>ФБ-6</t>
  </si>
  <si>
    <t>ФА-18</t>
  </si>
  <si>
    <t>ФБ-2</t>
  </si>
  <si>
    <t>ФБ-3</t>
  </si>
  <si>
    <t>ФВ-9</t>
  </si>
  <si>
    <t>ФБ-27</t>
  </si>
  <si>
    <t>Пісок</t>
  </si>
  <si>
    <t>Супісок</t>
  </si>
  <si>
    <t>Суглинок</t>
  </si>
  <si>
    <t>Глина</t>
  </si>
  <si>
    <t>ФВ-7</t>
  </si>
  <si>
    <t>ФВ-8</t>
  </si>
  <si>
    <t>ФВ-12</t>
  </si>
  <si>
    <t>ФВ-18</t>
  </si>
  <si>
    <t>ФА-25</t>
  </si>
  <si>
    <t>ФА-34</t>
  </si>
  <si>
    <t>ФБ-24</t>
  </si>
  <si>
    <t>ФБ-7</t>
  </si>
  <si>
    <t>ФБ-28</t>
  </si>
  <si>
    <t>ФВ-4</t>
  </si>
  <si>
    <t>ФА-20</t>
  </si>
  <si>
    <t>ФА-40</t>
  </si>
  <si>
    <t>ФА-1</t>
  </si>
  <si>
    <t>ФА-15</t>
  </si>
  <si>
    <t>ФА-23</t>
  </si>
  <si>
    <t>ФВ-10</t>
  </si>
  <si>
    <t>ФВ-11</t>
  </si>
  <si>
    <t>ФВ-15</t>
  </si>
  <si>
    <t>ФВ-19</t>
  </si>
  <si>
    <t>ФА-29</t>
  </si>
  <si>
    <t>ФА-36</t>
  </si>
  <si>
    <t>ФБ-30</t>
  </si>
  <si>
    <t>ФБ-13</t>
  </si>
  <si>
    <t>ФБ-31</t>
  </si>
  <si>
    <t>ФВ-13</t>
  </si>
  <si>
    <t>ФА-45</t>
  </si>
  <si>
    <t>ФА-5</t>
  </si>
  <si>
    <t>ФБ-8</t>
  </si>
  <si>
    <t>ФБ-23</t>
  </si>
  <si>
    <t>ФБ-22</t>
  </si>
  <si>
    <t>ФБ-19</t>
  </si>
  <si>
    <t>ФБ-20</t>
  </si>
  <si>
    <t>ФА-22</t>
  </si>
  <si>
    <t>ФА-11</t>
  </si>
  <si>
    <t>ФА-28</t>
  </si>
  <si>
    <t>ФА-8</t>
  </si>
  <si>
    <t>ФА-26</t>
  </si>
  <si>
    <t>-</t>
  </si>
  <si>
    <t>Місто</t>
  </si>
  <si>
    <t>Крок колон, м</t>
  </si>
  <si>
    <t>H11</t>
  </si>
  <si>
    <t>H12</t>
  </si>
  <si>
    <t>H13</t>
  </si>
  <si>
    <t>H14</t>
  </si>
  <si>
    <t>H21</t>
  </si>
  <si>
    <t>H22</t>
  </si>
  <si>
    <t>H23</t>
  </si>
  <si>
    <t>H24</t>
  </si>
  <si>
    <t>H31</t>
  </si>
  <si>
    <t>H32</t>
  </si>
  <si>
    <t>H33</t>
  </si>
  <si>
    <t>H34</t>
  </si>
  <si>
    <t>Н1</t>
  </si>
  <si>
    <t>Н2</t>
  </si>
  <si>
    <t>Н4</t>
  </si>
  <si>
    <t>Н3</t>
  </si>
  <si>
    <t>Нср=</t>
  </si>
  <si>
    <t>=</t>
  </si>
  <si>
    <t>Фігура</t>
  </si>
  <si>
    <t>Тип</t>
  </si>
  <si>
    <t>Площа</t>
  </si>
  <si>
    <t>hср</t>
  </si>
  <si>
    <t>Об'єм</t>
  </si>
  <si>
    <t>квадрат</t>
  </si>
  <si>
    <t>Насип</t>
  </si>
  <si>
    <t>Виїмка</t>
  </si>
  <si>
    <t>Баланс</t>
  </si>
  <si>
    <t>h1</t>
  </si>
  <si>
    <t>h2</t>
  </si>
  <si>
    <t>h3</t>
  </si>
  <si>
    <t>h4</t>
  </si>
  <si>
    <t>h5</t>
  </si>
  <si>
    <t>L1</t>
  </si>
  <si>
    <t>H1</t>
  </si>
  <si>
    <t>L2</t>
  </si>
  <si>
    <t>H2</t>
  </si>
  <si>
    <t>L3</t>
  </si>
  <si>
    <t>H3</t>
  </si>
  <si>
    <t>Уточнення</t>
  </si>
  <si>
    <t>трапеція</t>
  </si>
  <si>
    <t>Модуль відкосу</t>
  </si>
  <si>
    <t>Під заданий ухил 0,01</t>
  </si>
  <si>
    <t>Ухил майданчика</t>
  </si>
  <si>
    <t>2</t>
  </si>
  <si>
    <t>3/7</t>
  </si>
  <si>
    <t>4/8</t>
  </si>
  <si>
    <t>5/9</t>
  </si>
  <si>
    <t>6/10</t>
  </si>
  <si>
    <t>п'ятикутник</t>
  </si>
  <si>
    <t>трикутник</t>
  </si>
  <si>
    <t>сума</t>
  </si>
  <si>
    <t>№ п/п</t>
  </si>
  <si>
    <t>Найменування об'ємів</t>
  </si>
  <si>
    <t>Кількість</t>
  </si>
  <si>
    <t>Основні об'єми на майданчику</t>
  </si>
  <si>
    <t>Додаткові об'єми в укосах</t>
  </si>
  <si>
    <t>всього</t>
  </si>
  <si>
    <t>Баланс грунту</t>
  </si>
  <si>
    <t>Розбіжність в об'ємах</t>
  </si>
  <si>
    <t>/</t>
  </si>
  <si>
    <t>W1</t>
  </si>
  <si>
    <t>W2</t>
  </si>
  <si>
    <t>Середня відстань транспортування:</t>
  </si>
  <si>
    <t>м</t>
  </si>
  <si>
    <t>Проліт, м</t>
  </si>
  <si>
    <t>Кількість
прольотів</t>
  </si>
  <si>
    <t>Розміри фундаментів, мм</t>
  </si>
  <si>
    <t>Висота</t>
  </si>
  <si>
    <t>Ширина</t>
  </si>
  <si>
    <t>ФА-4</t>
  </si>
  <si>
    <t xml:space="preserve">- </t>
  </si>
  <si>
    <t>ФА-19</t>
  </si>
  <si>
    <t>ФА-24</t>
  </si>
  <si>
    <t>ФА-30</t>
  </si>
  <si>
    <t>ФА-32</t>
  </si>
  <si>
    <t>ФА-33</t>
  </si>
  <si>
    <t>ФА-35</t>
  </si>
  <si>
    <t>ФА-37</t>
  </si>
  <si>
    <t>ФА-38</t>
  </si>
  <si>
    <t>ФА-43</t>
  </si>
  <si>
    <t>ФБ-1</t>
  </si>
  <si>
    <t>ФБ-4</t>
  </si>
  <si>
    <t>ФБ-5</t>
  </si>
  <si>
    <t>ФБ-9</t>
  </si>
  <si>
    <t>ФБ-10</t>
  </si>
  <si>
    <t>ФБ-11</t>
  </si>
  <si>
    <t>ФБ-15</t>
  </si>
  <si>
    <t>ФБ-21</t>
  </si>
  <si>
    <t>ФБ-25</t>
  </si>
  <si>
    <t>ФВ-6</t>
  </si>
  <si>
    <t>ФВ-14</t>
  </si>
  <si>
    <t>ФВ-16</t>
  </si>
  <si>
    <t>ФВ-17</t>
  </si>
  <si>
    <t>ФВ-20</t>
  </si>
  <si>
    <t>Марка фундаменту</t>
  </si>
  <si>
    <t>Висота Нф</t>
  </si>
  <si>
    <r>
      <t>Витрати бетону, 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</si>
  <si>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t>Довжина сходинки</t>
  </si>
  <si>
    <t>а</t>
  </si>
  <si>
    <r>
      <rPr>
        <i/>
        <sz val="12"/>
        <color rgb="FF000000"/>
        <rFont val="Times New Roman"/>
        <family val="1"/>
        <charset val="204"/>
      </rPr>
      <t>а</t>
    </r>
    <r>
      <rPr>
        <vertAlign val="subscript"/>
        <sz val="12"/>
        <color rgb="FF000000"/>
        <rFont val="Times New Roman"/>
        <family val="1"/>
        <charset val="204"/>
      </rPr>
      <t>1</t>
    </r>
  </si>
  <si>
    <r>
      <rPr>
        <i/>
        <sz val="12"/>
        <color rgb="FF000000"/>
        <rFont val="Times New Roman"/>
        <family val="1"/>
        <charset val="204"/>
      </rPr>
      <t>а</t>
    </r>
    <r>
      <rPr>
        <vertAlign val="subscript"/>
        <sz val="12"/>
        <color rgb="FF000000"/>
        <rFont val="Times New Roman"/>
        <family val="1"/>
        <charset val="204"/>
      </rPr>
      <t>2</t>
    </r>
  </si>
  <si>
    <t>Ширина сходинки</t>
  </si>
  <si>
    <t>b</t>
  </si>
  <si>
    <r>
      <rPr>
        <i/>
        <sz val="12"/>
        <color rgb="FF000000"/>
        <rFont val="Times New Roman"/>
        <family val="1"/>
        <charset val="204"/>
      </rPr>
      <t>b</t>
    </r>
    <r>
      <rPr>
        <vertAlign val="subscript"/>
        <sz val="12"/>
        <color rgb="FF000000"/>
        <rFont val="Times New Roman"/>
        <family val="1"/>
        <charset val="204"/>
      </rPr>
      <t>1</t>
    </r>
  </si>
  <si>
    <r>
      <rPr>
        <i/>
        <sz val="12"/>
        <color rgb="FF000000"/>
        <rFont val="Times New Roman"/>
        <family val="1"/>
        <charset val="204"/>
      </rPr>
      <t>b</t>
    </r>
    <r>
      <rPr>
        <vertAlign val="subscript"/>
        <sz val="12"/>
        <color rgb="FF000000"/>
        <rFont val="Times New Roman"/>
        <family val="1"/>
        <charset val="204"/>
      </rPr>
      <t>2</t>
    </r>
  </si>
  <si>
    <t>Розмір підколонників, мм</t>
  </si>
  <si>
    <t>900 х 900</t>
  </si>
  <si>
    <t>1200 х 1200</t>
  </si>
  <si>
    <t>1500 х 1200</t>
  </si>
  <si>
    <t>Розміри стакану, мм</t>
  </si>
  <si>
    <t>Довжина</t>
  </si>
  <si>
    <r>
      <rPr>
        <i/>
        <sz val="12"/>
        <color rgb="FF000000"/>
        <rFont val="Times New Roman"/>
        <family val="1"/>
        <charset val="204"/>
      </rPr>
      <t>а</t>
    </r>
    <r>
      <rPr>
        <vertAlign val="subscript"/>
        <sz val="12"/>
        <color rgb="FF000000"/>
        <rFont val="Times New Roman"/>
        <family val="1"/>
        <charset val="204"/>
      </rPr>
      <t>ст</t>
    </r>
  </si>
  <si>
    <r>
      <rPr>
        <i/>
        <sz val="12"/>
        <color rgb="FF000000"/>
        <rFont val="Times New Roman"/>
        <family val="1"/>
        <charset val="204"/>
      </rPr>
      <t>b</t>
    </r>
    <r>
      <rPr>
        <vertAlign val="subscript"/>
        <sz val="12"/>
        <color rgb="FF000000"/>
        <rFont val="Times New Roman"/>
        <family val="1"/>
        <charset val="204"/>
      </rPr>
      <t>ст</t>
    </r>
  </si>
  <si>
    <r>
      <rPr>
        <i/>
        <sz val="12"/>
        <color rgb="FF000000"/>
        <rFont val="Times New Roman"/>
        <family val="1"/>
        <charset val="204"/>
      </rPr>
      <t>h</t>
    </r>
    <r>
      <rPr>
        <vertAlign val="subscript"/>
        <sz val="12"/>
        <color rgb="FF000000"/>
        <rFont val="Times New Roman"/>
        <family val="1"/>
        <charset val="204"/>
      </rPr>
      <t>ст</t>
    </r>
  </si>
  <si>
    <t>Проліт</t>
  </si>
  <si>
    <t>К-ть</t>
  </si>
  <si>
    <t>Ромір В</t>
  </si>
  <si>
    <t>Крок</t>
  </si>
  <si>
    <t>Довжина секції</t>
  </si>
  <si>
    <t>К-ть секцій</t>
  </si>
  <si>
    <t>Розмір L</t>
  </si>
  <si>
    <t>Висота фундаментів Н</t>
  </si>
  <si>
    <t xml:space="preserve">Тип котловану - </t>
  </si>
  <si>
    <t>Довжина дна траншеї зовнішньої</t>
  </si>
  <si>
    <t>Довжина дна траншеї внутрішньої</t>
  </si>
  <si>
    <t>Ширина дна траншеї</t>
  </si>
  <si>
    <t>мм</t>
  </si>
  <si>
    <t>Глибина траншеї</t>
  </si>
  <si>
    <t>Довжина зовнішньої траншеї по верху</t>
  </si>
  <si>
    <t>Довжина внутрішньої траншеї по верху</t>
  </si>
  <si>
    <t>Модуль укосу</t>
  </si>
  <si>
    <t>Горизонтальне закладення відкосу</t>
  </si>
  <si>
    <t>Ширина траншей по верху</t>
  </si>
  <si>
    <t>Об'єм зовнішньої траншеї</t>
  </si>
  <si>
    <t>Об'єм внутрішньої траншеї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</si>
  <si>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</si>
  <si>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Площа дна</t>
  </si>
  <si>
    <t>Площа по верху</t>
  </si>
  <si>
    <t>Зовнішня</t>
  </si>
  <si>
    <t>Внутрішня</t>
  </si>
  <si>
    <t>Серединні</t>
  </si>
  <si>
    <t>Об'єм котловану</t>
  </si>
  <si>
    <t>Об'єм фундаменту</t>
  </si>
  <si>
    <t>Об'єм засипки</t>
  </si>
  <si>
    <t>коеф.залишкового розпушення</t>
  </si>
  <si>
    <t>Об'єм надлишкового грунту</t>
  </si>
  <si>
    <t>коеф. розпушення</t>
  </si>
  <si>
    <t>Висота сходинки (-ок), мм</t>
  </si>
  <si>
    <t>450/300</t>
  </si>
  <si>
    <t xml:space="preserve">Ґрунти </t>
  </si>
  <si>
    <t xml:space="preserve">Насипні </t>
  </si>
  <si>
    <t xml:space="preserve">Супіски </t>
  </si>
  <si>
    <t xml:space="preserve">Суглинки </t>
  </si>
  <si>
    <t xml:space="preserve">Глини лесові сухі </t>
  </si>
  <si>
    <r>
      <t xml:space="preserve">Коефіцієнти укосів ґрунтів </t>
    </r>
    <r>
      <rPr>
        <b/>
        <i/>
        <sz val="14"/>
        <color rgb="FF000000"/>
        <rFont val="Times New Roman"/>
        <family val="1"/>
        <charset val="204"/>
      </rPr>
      <t>m</t>
    </r>
  </si>
  <si>
    <r>
      <t xml:space="preserve">Коефіцієнти укосу </t>
    </r>
    <r>
      <rPr>
        <i/>
        <sz val="12"/>
        <color rgb="FF000000"/>
        <rFont val="Times New Roman"/>
        <family val="1"/>
        <charset val="204"/>
      </rPr>
      <t xml:space="preserve">m </t>
    </r>
    <r>
      <rPr>
        <sz val="12"/>
        <color rgb="FF000000"/>
        <rFont val="Times New Roman"/>
        <family val="1"/>
        <charset val="204"/>
      </rPr>
      <t xml:space="preserve">в залежності від глибини виїмки </t>
    </r>
    <r>
      <rPr>
        <i/>
        <sz val="12"/>
        <color rgb="FF000000"/>
        <rFont val="Times New Roman"/>
        <family val="1"/>
        <charset val="204"/>
      </rPr>
      <t>Н</t>
    </r>
    <r>
      <rPr>
        <sz val="12"/>
        <color rgb="FF000000"/>
        <rFont val="Times New Roman"/>
        <family val="1"/>
        <charset val="204"/>
      </rPr>
      <t>в, м до:</t>
    </r>
  </si>
  <si>
    <t xml:space="preserve">Піщані і гравійні </t>
  </si>
  <si>
    <t>Глини лесові</t>
  </si>
  <si>
    <t>Показники розпушення ґрунтів</t>
  </si>
  <si>
    <t>Найменування ґрунтів</t>
  </si>
  <si>
    <t>Коефіцієнт розпушення ґрунту</t>
  </si>
  <si>
    <t xml:space="preserve">Пісок </t>
  </si>
  <si>
    <t xml:space="preserve">Супісок </t>
  </si>
  <si>
    <t>1,5…1,7</t>
  </si>
  <si>
    <t>1,5…1,8</t>
  </si>
  <si>
    <t xml:space="preserve">Суглинок середній </t>
  </si>
  <si>
    <t>1,7…2,0</t>
  </si>
  <si>
    <t xml:space="preserve">Глина м'яка </t>
  </si>
  <si>
    <t>1,7…1,9</t>
  </si>
  <si>
    <t xml:space="preserve">Глина тверда </t>
  </si>
  <si>
    <t>1,8…2,0</t>
  </si>
  <si>
    <t>Кр - коефіцієнт розпушення ґрунту</t>
  </si>
  <si>
    <r>
      <t>К</t>
    </r>
    <r>
      <rPr>
        <vertAlign val="subscript"/>
        <sz val="12"/>
        <color rgb="FF000000"/>
        <rFont val="Times New Roman"/>
        <family val="1"/>
        <charset val="204"/>
      </rPr>
      <t>зр</t>
    </r>
    <r>
      <rPr>
        <sz val="12"/>
        <color rgb="FF000000"/>
        <rFont val="Times New Roman"/>
        <family val="1"/>
        <charset val="204"/>
      </rPr>
      <t xml:space="preserve"> - залишковий коефіцієнт розпушення ґрунту</t>
    </r>
  </si>
  <si>
    <t>Суглинок легкий і лесовидний</t>
  </si>
  <si>
    <t xml:space="preserve">1,06...1,09 </t>
  </si>
  <si>
    <t xml:space="preserve">1,04…1,07 </t>
  </si>
  <si>
    <t xml:space="preserve">1,04…1,08 </t>
  </si>
  <si>
    <t xml:space="preserve">1,03…1,06 </t>
  </si>
  <si>
    <t xml:space="preserve">1,03…1,05 </t>
  </si>
  <si>
    <t xml:space="preserve">1.02…1,04 </t>
  </si>
  <si>
    <t xml:space="preserve">1,10…1,15 </t>
  </si>
  <si>
    <t xml:space="preserve">1,12…1,17 </t>
  </si>
  <si>
    <t xml:space="preserve">1,18…1,24 </t>
  </si>
  <si>
    <t xml:space="preserve">1,24…1,30 </t>
  </si>
  <si>
    <t xml:space="preserve">1,28…1,32 </t>
  </si>
  <si>
    <r>
      <t>Об'ємна маса ґрунту, т/м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</si>
  <si>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t>Звичайні</t>
  </si>
  <si>
    <t>Стакан</t>
  </si>
  <si>
    <t>Сходинка1</t>
  </si>
  <si>
    <t>Сходинка2</t>
  </si>
  <si>
    <t>Сходинка3</t>
  </si>
  <si>
    <t>Загальний</t>
  </si>
  <si>
    <t>БУДІВЛЯ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</si>
</sst>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%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vertAlign val="superscript"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vertAlign val="subscript"/>
      <sz val="12"/>
      <color rgb="FF000000"/>
      <name val="Times New Roman"/>
      <family val="1"/>
      <charset val="204"/>
    </font>
    <font>
      <vertAlign val="superscript"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3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9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7" xfId="0" applyBorder="1"/>
    <xf numFmtId="2" fontId="3" fillId="0" borderId="0" xfId="0" applyNumberFormat="1" applyFont="1"/>
    <xf numFmtId="2" fontId="3" fillId="0" borderId="14" xfId="0" applyNumberFormat="1" applyFont="1" applyBorder="1"/>
    <xf numFmtId="0" fontId="0" fillId="0" borderId="0" xfId="0" applyAlignment="1">
      <alignment horizontal="center"/>
    </xf>
    <xf numFmtId="2" fontId="5" fillId="0" borderId="1" xfId="0" applyNumberFormat="1" applyFont="1" applyBorder="1"/>
    <xf numFmtId="2" fontId="5" fillId="0" borderId="5" xfId="0" applyNumberFormat="1" applyFont="1" applyBorder="1"/>
    <xf numFmtId="2" fontId="5" fillId="0" borderId="15" xfId="0" applyNumberFormat="1" applyFont="1" applyBorder="1"/>
    <xf numFmtId="0" fontId="4" fillId="0" borderId="5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6" fillId="0" borderId="0" xfId="0" applyFont="1" applyBorder="1"/>
    <xf numFmtId="0" fontId="7" fillId="0" borderId="0" xfId="0" applyFont="1" applyBorder="1"/>
    <xf numFmtId="2" fontId="3" fillId="0" borderId="3" xfId="0" applyNumberFormat="1" applyFont="1" applyBorder="1"/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4" fillId="0" borderId="0" xfId="0" applyFont="1" applyAlignment="1">
      <alignment horizontal="center"/>
    </xf>
    <xf numFmtId="0" fontId="4" fillId="0" borderId="0" xfId="0" applyFont="1"/>
    <xf numFmtId="2" fontId="0" fillId="0" borderId="0" xfId="0" applyNumberFormat="1"/>
    <xf numFmtId="2" fontId="4" fillId="0" borderId="0" xfId="0" applyNumberFormat="1" applyFont="1"/>
    <xf numFmtId="0" fontId="4" fillId="0" borderId="16" xfId="0" applyFont="1" applyBorder="1" applyAlignment="1">
      <alignment horizontal="right"/>
    </xf>
    <xf numFmtId="2" fontId="3" fillId="0" borderId="3" xfId="0" applyNumberFormat="1" applyFont="1" applyFill="1" applyBorder="1"/>
    <xf numFmtId="0" fontId="0" fillId="0" borderId="0" xfId="0" applyFill="1"/>
    <xf numFmtId="2" fontId="5" fillId="0" borderId="1" xfId="0" applyNumberFormat="1" applyFont="1" applyFill="1" applyBorder="1"/>
    <xf numFmtId="2" fontId="5" fillId="0" borderId="5" xfId="0" applyNumberFormat="1" applyFont="1" applyFill="1" applyBorder="1"/>
    <xf numFmtId="2" fontId="3" fillId="0" borderId="1" xfId="0" applyNumberFormat="1" applyFont="1" applyFill="1" applyBorder="1"/>
    <xf numFmtId="0" fontId="0" fillId="0" borderId="9" xfId="0" applyFill="1" applyBorder="1"/>
    <xf numFmtId="0" fontId="4" fillId="0" borderId="10" xfId="0" applyFont="1" applyFill="1" applyBorder="1" applyAlignment="1">
      <alignment horizontal="right"/>
    </xf>
    <xf numFmtId="0" fontId="0" fillId="0" borderId="11" xfId="0" applyFill="1" applyBorder="1"/>
    <xf numFmtId="0" fontId="6" fillId="0" borderId="0" xfId="0" applyFont="1" applyFill="1" applyBorder="1"/>
    <xf numFmtId="0" fontId="0" fillId="0" borderId="12" xfId="0" applyFill="1" applyBorder="1"/>
    <xf numFmtId="0" fontId="0" fillId="0" borderId="0" xfId="0" applyFill="1" applyBorder="1"/>
    <xf numFmtId="0" fontId="0" fillId="0" borderId="11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0" xfId="0" applyFont="1" applyFill="1" applyBorder="1"/>
    <xf numFmtId="2" fontId="3" fillId="0" borderId="14" xfId="0" applyNumberFormat="1" applyFont="1" applyFill="1" applyBorder="1"/>
    <xf numFmtId="0" fontId="0" fillId="0" borderId="13" xfId="0" applyFill="1" applyBorder="1"/>
    <xf numFmtId="2" fontId="5" fillId="0" borderId="15" xfId="0" applyNumberFormat="1" applyFont="1" applyFill="1" applyBorder="1"/>
    <xf numFmtId="2" fontId="3" fillId="0" borderId="4" xfId="0" applyNumberFormat="1" applyFont="1" applyFill="1" applyBorder="1"/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2" fontId="7" fillId="0" borderId="0" xfId="0" applyNumberFormat="1" applyFont="1" applyFill="1" applyBorder="1"/>
    <xf numFmtId="164" fontId="4" fillId="0" borderId="0" xfId="0" applyNumberFormat="1" applyFont="1"/>
    <xf numFmtId="164" fontId="0" fillId="0" borderId="0" xfId="0" applyNumberFormat="1"/>
    <xf numFmtId="164" fontId="0" fillId="4" borderId="0" xfId="0" applyNumberFormat="1" applyFill="1"/>
    <xf numFmtId="164" fontId="0" fillId="3" borderId="0" xfId="0" applyNumberFormat="1" applyFill="1"/>
    <xf numFmtId="2" fontId="0" fillId="0" borderId="8" xfId="0" applyNumberFormat="1" applyBorder="1"/>
    <xf numFmtId="2" fontId="0" fillId="0" borderId="8" xfId="0" applyNumberFormat="1" applyFill="1" applyBorder="1"/>
    <xf numFmtId="2" fontId="0" fillId="0" borderId="4" xfId="0" applyNumberFormat="1" applyFill="1" applyBorder="1"/>
    <xf numFmtId="2" fontId="0" fillId="0" borderId="6" xfId="0" applyNumberFormat="1" applyBorder="1"/>
    <xf numFmtId="2" fontId="0" fillId="0" borderId="1" xfId="0" applyNumberFormat="1" applyBorder="1"/>
    <xf numFmtId="0" fontId="9" fillId="0" borderId="0" xfId="0" applyFont="1"/>
    <xf numFmtId="0" fontId="10" fillId="0" borderId="0" xfId="0" applyFont="1" applyAlignment="1">
      <alignment horizontal="right"/>
    </xf>
    <xf numFmtId="165" fontId="0" fillId="0" borderId="0" xfId="0" applyNumberFormat="1"/>
    <xf numFmtId="165" fontId="0" fillId="5" borderId="0" xfId="0" applyNumberFormat="1" applyFill="1"/>
    <xf numFmtId="165" fontId="11" fillId="0" borderId="0" xfId="0" applyNumberFormat="1" applyFont="1"/>
    <xf numFmtId="0" fontId="0" fillId="0" borderId="22" xfId="0" applyBorder="1"/>
    <xf numFmtId="0" fontId="0" fillId="0" borderId="20" xfId="0" applyBorder="1"/>
    <xf numFmtId="0" fontId="0" fillId="0" borderId="23" xfId="0" applyBorder="1"/>
    <xf numFmtId="165" fontId="0" fillId="0" borderId="24" xfId="0" applyNumberFormat="1" applyBorder="1"/>
    <xf numFmtId="165" fontId="0" fillId="0" borderId="20" xfId="0" applyNumberFormat="1" applyBorder="1"/>
    <xf numFmtId="164" fontId="0" fillId="0" borderId="24" xfId="0" applyNumberFormat="1" applyBorder="1"/>
    <xf numFmtId="0" fontId="13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164" fontId="0" fillId="0" borderId="1" xfId="0" applyNumberFormat="1" applyBorder="1"/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64" fontId="0" fillId="0" borderId="27" xfId="0" applyNumberFormat="1" applyBorder="1"/>
    <xf numFmtId="164" fontId="0" fillId="0" borderId="10" xfId="0" applyNumberFormat="1" applyBorder="1"/>
    <xf numFmtId="0" fontId="12" fillId="0" borderId="28" xfId="0" applyFont="1" applyBorder="1" applyAlignment="1">
      <alignment horizontal="center" vertical="center" wrapText="1"/>
    </xf>
    <xf numFmtId="164" fontId="0" fillId="0" borderId="29" xfId="0" applyNumberFormat="1" applyBorder="1"/>
    <xf numFmtId="0" fontId="12" fillId="0" borderId="14" xfId="0" applyFont="1" applyBorder="1" applyAlignment="1">
      <alignment horizontal="center" vertical="center" wrapText="1"/>
    </xf>
    <xf numFmtId="0" fontId="0" fillId="0" borderId="33" xfId="0" applyBorder="1"/>
    <xf numFmtId="166" fontId="0" fillId="0" borderId="15" xfId="1" applyNumberFormat="1" applyFont="1" applyBorder="1"/>
    <xf numFmtId="0" fontId="12" fillId="0" borderId="34" xfId="0" applyFont="1" applyBorder="1" applyAlignment="1">
      <alignment horizontal="center" vertical="center" wrapText="1"/>
    </xf>
    <xf numFmtId="164" fontId="0" fillId="0" borderId="3" xfId="0" applyNumberFormat="1" applyBorder="1"/>
    <xf numFmtId="164" fontId="0" fillId="0" borderId="35" xfId="0" applyNumberFormat="1" applyBorder="1"/>
    <xf numFmtId="164" fontId="4" fillId="0" borderId="27" xfId="0" applyNumberFormat="1" applyFont="1" applyBorder="1"/>
    <xf numFmtId="164" fontId="4" fillId="0" borderId="10" xfId="0" applyNumberFormat="1" applyFont="1" applyBorder="1"/>
    <xf numFmtId="165" fontId="0" fillId="0" borderId="17" xfId="0" applyNumberFormat="1" applyBorder="1"/>
    <xf numFmtId="0" fontId="4" fillId="6" borderId="0" xfId="0" applyFont="1" applyFill="1"/>
    <xf numFmtId="164" fontId="4" fillId="0" borderId="0" xfId="0" applyNumberFormat="1" applyFont="1" applyAlignment="1">
      <alignment horizontal="center"/>
    </xf>
    <xf numFmtId="0" fontId="12" fillId="0" borderId="27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right" vertical="center"/>
    </xf>
    <xf numFmtId="0" fontId="13" fillId="0" borderId="37" xfId="0" applyFont="1" applyBorder="1" applyAlignment="1">
      <alignment horizontal="right" vertical="center"/>
    </xf>
    <xf numFmtId="0" fontId="13" fillId="0" borderId="38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Alignment="1">
      <alignment horizontal="right"/>
    </xf>
    <xf numFmtId="0" fontId="0" fillId="5" borderId="1" xfId="0" applyFill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23" fillId="0" borderId="0" xfId="0" applyFont="1"/>
    <xf numFmtId="165" fontId="2" fillId="0" borderId="1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165" fontId="2" fillId="0" borderId="28" xfId="0" applyNumberFormat="1" applyFont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5" fontId="2" fillId="0" borderId="33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0" fontId="12" fillId="0" borderId="0" xfId="0" applyFont="1"/>
    <xf numFmtId="0" fontId="2" fillId="0" borderId="4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 wrapText="1"/>
    </xf>
    <xf numFmtId="0" fontId="25" fillId="5" borderId="28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5" fillId="5" borderId="29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6" fillId="0" borderId="1" xfId="0" applyFont="1" applyFill="1" applyBorder="1"/>
    <xf numFmtId="0" fontId="0" fillId="0" borderId="5" xfId="0" applyFill="1" applyBorder="1"/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8" xfId="0" applyFill="1" applyBorder="1"/>
    <xf numFmtId="0" fontId="0" fillId="0" borderId="29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27" xfId="0" applyFill="1" applyBorder="1" applyAlignment="1">
      <alignment horizontal="center"/>
    </xf>
    <xf numFmtId="0" fontId="26" fillId="0" borderId="28" xfId="0" applyFont="1" applyFill="1" applyBorder="1"/>
    <xf numFmtId="0" fontId="0" fillId="0" borderId="33" xfId="0" applyFill="1" applyBorder="1"/>
    <xf numFmtId="0" fontId="0" fillId="0" borderId="36" xfId="0" applyFill="1" applyBorder="1" applyAlignment="1">
      <alignment horizontal="center"/>
    </xf>
    <xf numFmtId="0" fontId="26" fillId="0" borderId="5" xfId="0" applyFont="1" applyFill="1" applyBorder="1"/>
    <xf numFmtId="0" fontId="0" fillId="0" borderId="30" xfId="0" applyFill="1" applyBorder="1"/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/>
    <xf numFmtId="0" fontId="0" fillId="2" borderId="29" xfId="0" applyFill="1" applyBorder="1"/>
    <xf numFmtId="0" fontId="4" fillId="2" borderId="4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0" fillId="2" borderId="32" xfId="0" applyFill="1" applyBorder="1"/>
    <xf numFmtId="0" fontId="0" fillId="2" borderId="15" xfId="0" applyFill="1" applyBorder="1"/>
    <xf numFmtId="0" fontId="0" fillId="5" borderId="41" xfId="0" applyFill="1" applyBorder="1"/>
    <xf numFmtId="0" fontId="0" fillId="5" borderId="42" xfId="0" applyFill="1" applyBorder="1"/>
    <xf numFmtId="0" fontId="0" fillId="7" borderId="0" xfId="0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0" fillId="0" borderId="1" xfId="0" applyNumberFormat="1" applyBorder="1"/>
  </cellXfs>
  <cellStyles count="2">
    <cellStyle name="Обычный" xfId="0" builtinId="0"/>
    <cellStyle name="Процентный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C5E32-3ABF-4CCB-AC50-5CD2CE17B83C}">
  <sheetPr>
    <tabColor rgb="FFFF0000"/>
  </sheetPr>
  <dimension ref="A1:G31"/>
  <sheetViews>
    <sheetView workbookViewId="0">
      <selection activeCell="J17" sqref="J17"/>
    </sheetView>
  </sheetViews>
  <sheetFormatPr defaultRowHeight="14.4" x14ac:dyDescent="0.3"/>
  <cols>
    <col min="1" max="1" width="6.44140625" customWidth="1"/>
    <col min="3" max="3" width="10.33203125" customWidth="1"/>
    <col min="5" max="5" width="21.21875" customWidth="1"/>
    <col min="6" max="6" width="9.88671875" customWidth="1"/>
  </cols>
  <sheetData>
    <row r="1" spans="1:7" ht="29.4" customHeight="1" x14ac:dyDescent="0.3">
      <c r="A1" s="4" t="s">
        <v>0</v>
      </c>
      <c r="B1" s="4" t="s">
        <v>1</v>
      </c>
      <c r="C1" s="5" t="s">
        <v>5</v>
      </c>
      <c r="D1" s="5" t="s">
        <v>6</v>
      </c>
      <c r="E1" s="7" t="s">
        <v>7</v>
      </c>
      <c r="F1" s="6" t="s">
        <v>10</v>
      </c>
      <c r="G1" s="6" t="s">
        <v>141</v>
      </c>
    </row>
    <row r="2" spans="1:7" x14ac:dyDescent="0.3">
      <c r="A2" s="1">
        <v>1</v>
      </c>
      <c r="B2" s="1">
        <v>1</v>
      </c>
      <c r="C2" s="1" t="s">
        <v>2</v>
      </c>
      <c r="D2" s="2">
        <v>50</v>
      </c>
      <c r="E2" s="3" t="s">
        <v>142</v>
      </c>
      <c r="F2" s="8">
        <v>120</v>
      </c>
      <c r="G2" s="9">
        <v>0.5</v>
      </c>
    </row>
    <row r="3" spans="1:7" x14ac:dyDescent="0.3">
      <c r="A3" s="1">
        <v>2</v>
      </c>
      <c r="B3" s="1">
        <v>2</v>
      </c>
      <c r="C3" s="1" t="s">
        <v>3</v>
      </c>
      <c r="D3" s="2">
        <v>40</v>
      </c>
      <c r="E3" s="3" t="s">
        <v>8</v>
      </c>
      <c r="F3" s="8">
        <v>0</v>
      </c>
      <c r="G3" s="9">
        <v>0.55000000000000004</v>
      </c>
    </row>
    <row r="4" spans="1:7" x14ac:dyDescent="0.3">
      <c r="A4" s="1">
        <v>3</v>
      </c>
      <c r="B4" s="1">
        <v>3</v>
      </c>
      <c r="C4" s="1" t="s">
        <v>2</v>
      </c>
      <c r="D4" s="2">
        <v>50</v>
      </c>
      <c r="E4" s="3" t="s">
        <v>9</v>
      </c>
      <c r="F4" s="9">
        <v>193.2</v>
      </c>
      <c r="G4" s="9">
        <v>0.6</v>
      </c>
    </row>
    <row r="5" spans="1:7" x14ac:dyDescent="0.3">
      <c r="A5" s="1">
        <v>4</v>
      </c>
      <c r="B5" s="1">
        <v>4</v>
      </c>
      <c r="C5" s="1" t="s">
        <v>4</v>
      </c>
      <c r="D5" s="2">
        <v>42</v>
      </c>
      <c r="E5" s="3" t="s">
        <v>142</v>
      </c>
      <c r="F5" s="8">
        <v>0</v>
      </c>
      <c r="G5" s="9">
        <v>0.65</v>
      </c>
    </row>
    <row r="6" spans="1:7" x14ac:dyDescent="0.3">
      <c r="A6" s="1">
        <v>5</v>
      </c>
      <c r="B6" s="1">
        <v>5</v>
      </c>
      <c r="C6" s="1" t="s">
        <v>4</v>
      </c>
      <c r="D6" s="2">
        <v>40</v>
      </c>
      <c r="E6" s="3" t="s">
        <v>8</v>
      </c>
      <c r="F6" s="8">
        <v>1200</v>
      </c>
      <c r="G6" s="9">
        <v>0.7</v>
      </c>
    </row>
    <row r="7" spans="1:7" x14ac:dyDescent="0.3">
      <c r="A7" s="1">
        <v>6</v>
      </c>
      <c r="B7" s="1">
        <v>1</v>
      </c>
      <c r="C7" s="1" t="s">
        <v>2</v>
      </c>
      <c r="D7" s="2">
        <v>50</v>
      </c>
      <c r="E7" s="3" t="s">
        <v>9</v>
      </c>
      <c r="F7" s="1">
        <v>181.85</v>
      </c>
      <c r="G7" s="9">
        <v>0.75</v>
      </c>
    </row>
    <row r="8" spans="1:7" x14ac:dyDescent="0.3">
      <c r="A8" s="1">
        <v>7</v>
      </c>
      <c r="B8" s="1">
        <v>2</v>
      </c>
      <c r="C8" s="1" t="s">
        <v>3</v>
      </c>
      <c r="D8" s="2">
        <v>40</v>
      </c>
      <c r="E8" s="3" t="s">
        <v>142</v>
      </c>
      <c r="F8" s="8">
        <v>30</v>
      </c>
      <c r="G8" s="9">
        <v>0.8</v>
      </c>
    </row>
    <row r="9" spans="1:7" x14ac:dyDescent="0.3">
      <c r="A9" s="1">
        <v>8</v>
      </c>
      <c r="B9" s="1">
        <v>3</v>
      </c>
      <c r="C9" s="1" t="s">
        <v>2</v>
      </c>
      <c r="D9" s="2">
        <v>50</v>
      </c>
      <c r="E9" s="3" t="s">
        <v>8</v>
      </c>
      <c r="F9" s="8">
        <v>-1500</v>
      </c>
      <c r="G9" s="9">
        <v>0.85</v>
      </c>
    </row>
    <row r="10" spans="1:7" x14ac:dyDescent="0.3">
      <c r="A10" s="1">
        <v>9</v>
      </c>
      <c r="B10" s="1">
        <v>4</v>
      </c>
      <c r="C10" s="1" t="s">
        <v>4</v>
      </c>
      <c r="D10" s="2">
        <v>42</v>
      </c>
      <c r="E10" s="3" t="s">
        <v>9</v>
      </c>
      <c r="F10" s="9">
        <v>201.5</v>
      </c>
      <c r="G10" s="9">
        <v>0.9</v>
      </c>
    </row>
    <row r="11" spans="1:7" x14ac:dyDescent="0.3">
      <c r="A11" s="1">
        <v>10</v>
      </c>
      <c r="B11" s="1">
        <v>5</v>
      </c>
      <c r="C11" s="1" t="s">
        <v>4</v>
      </c>
      <c r="D11" s="2">
        <v>40</v>
      </c>
      <c r="E11" s="3" t="s">
        <v>142</v>
      </c>
      <c r="F11" s="8">
        <v>45</v>
      </c>
      <c r="G11" s="9">
        <v>0.95</v>
      </c>
    </row>
    <row r="12" spans="1:7" x14ac:dyDescent="0.3">
      <c r="A12" s="1">
        <v>11</v>
      </c>
      <c r="B12" s="1">
        <v>1</v>
      </c>
      <c r="C12" s="1" t="s">
        <v>2</v>
      </c>
      <c r="D12" s="2">
        <v>50</v>
      </c>
      <c r="E12" s="3" t="s">
        <v>8</v>
      </c>
      <c r="F12" s="8">
        <v>0</v>
      </c>
      <c r="G12" s="9">
        <v>1</v>
      </c>
    </row>
    <row r="13" spans="1:7" x14ac:dyDescent="0.3">
      <c r="A13" s="1">
        <v>12</v>
      </c>
      <c r="B13" s="1">
        <v>2</v>
      </c>
      <c r="C13" s="1" t="s">
        <v>3</v>
      </c>
      <c r="D13" s="2">
        <v>40</v>
      </c>
      <c r="E13" s="3" t="s">
        <v>9</v>
      </c>
      <c r="F13" s="1">
        <v>221.61</v>
      </c>
      <c r="G13" s="9">
        <v>1.05</v>
      </c>
    </row>
    <row r="14" spans="1:7" x14ac:dyDescent="0.3">
      <c r="A14" s="1">
        <v>13</v>
      </c>
      <c r="B14" s="1">
        <v>3</v>
      </c>
      <c r="C14" s="1" t="s">
        <v>2</v>
      </c>
      <c r="D14" s="2">
        <v>50</v>
      </c>
      <c r="E14" s="3" t="s">
        <v>142</v>
      </c>
      <c r="F14" s="8">
        <v>200</v>
      </c>
      <c r="G14" s="9">
        <v>1.1000000000000001</v>
      </c>
    </row>
    <row r="15" spans="1:7" x14ac:dyDescent="0.3">
      <c r="A15" s="1">
        <v>14</v>
      </c>
      <c r="B15" s="1">
        <v>4</v>
      </c>
      <c r="C15" s="1" t="s">
        <v>4</v>
      </c>
      <c r="D15" s="2">
        <v>42</v>
      </c>
      <c r="E15" s="3" t="s">
        <v>8</v>
      </c>
      <c r="F15" s="8">
        <v>-1200</v>
      </c>
      <c r="G15" s="9">
        <v>1.1499999999999999</v>
      </c>
    </row>
    <row r="16" spans="1:7" x14ac:dyDescent="0.3">
      <c r="A16" s="1">
        <v>15</v>
      </c>
      <c r="B16" s="1">
        <v>5</v>
      </c>
      <c r="C16" s="1" t="s">
        <v>4</v>
      </c>
      <c r="D16" s="2">
        <v>40</v>
      </c>
      <c r="E16" s="3" t="s">
        <v>9</v>
      </c>
      <c r="F16" s="1">
        <v>188.84</v>
      </c>
      <c r="G16" s="9">
        <v>1.2</v>
      </c>
    </row>
    <row r="17" spans="1:7" x14ac:dyDescent="0.3">
      <c r="A17" s="1">
        <v>16</v>
      </c>
      <c r="B17" s="1">
        <v>1</v>
      </c>
      <c r="C17" s="1" t="s">
        <v>2</v>
      </c>
      <c r="D17" s="2">
        <v>50</v>
      </c>
      <c r="E17" s="3" t="s">
        <v>142</v>
      </c>
      <c r="F17" s="8">
        <v>150</v>
      </c>
      <c r="G17" s="9">
        <v>1.25</v>
      </c>
    </row>
    <row r="18" spans="1:7" x14ac:dyDescent="0.3">
      <c r="A18" s="1">
        <v>17</v>
      </c>
      <c r="B18" s="1">
        <v>2</v>
      </c>
      <c r="C18" s="1" t="s">
        <v>3</v>
      </c>
      <c r="D18" s="2">
        <v>40</v>
      </c>
      <c r="E18" s="3" t="s">
        <v>8</v>
      </c>
      <c r="F18" s="8">
        <v>1500</v>
      </c>
      <c r="G18" s="9">
        <v>1.3</v>
      </c>
    </row>
    <row r="19" spans="1:7" x14ac:dyDescent="0.3">
      <c r="A19" s="1">
        <v>18</v>
      </c>
      <c r="B19" s="1">
        <v>3</v>
      </c>
      <c r="C19" s="1" t="s">
        <v>2</v>
      </c>
      <c r="D19" s="2">
        <v>50</v>
      </c>
      <c r="E19" s="3" t="s">
        <v>9</v>
      </c>
      <c r="F19" s="1">
        <v>193.78</v>
      </c>
      <c r="G19" s="9">
        <v>1.35</v>
      </c>
    </row>
    <row r="20" spans="1:7" x14ac:dyDescent="0.3">
      <c r="A20" s="1">
        <v>19</v>
      </c>
      <c r="B20" s="1">
        <v>4</v>
      </c>
      <c r="C20" s="1" t="s">
        <v>4</v>
      </c>
      <c r="D20" s="2">
        <v>42</v>
      </c>
      <c r="E20" s="3" t="s">
        <v>142</v>
      </c>
      <c r="F20" s="8">
        <v>20</v>
      </c>
      <c r="G20" s="9">
        <v>1.4</v>
      </c>
    </row>
    <row r="21" spans="1:7" x14ac:dyDescent="0.3">
      <c r="A21" s="1">
        <v>20</v>
      </c>
      <c r="B21" s="1">
        <v>5</v>
      </c>
      <c r="C21" s="1" t="s">
        <v>4</v>
      </c>
      <c r="D21" s="2">
        <v>40</v>
      </c>
      <c r="E21" s="3" t="s">
        <v>8</v>
      </c>
      <c r="F21" s="8">
        <v>0</v>
      </c>
      <c r="G21" s="9">
        <v>1.45</v>
      </c>
    </row>
    <row r="22" spans="1:7" x14ac:dyDescent="0.3">
      <c r="A22" s="1">
        <v>21</v>
      </c>
      <c r="B22" s="1">
        <v>1</v>
      </c>
      <c r="C22" s="1" t="s">
        <v>2</v>
      </c>
      <c r="D22" s="2">
        <v>50</v>
      </c>
      <c r="E22" s="3" t="s">
        <v>9</v>
      </c>
      <c r="F22" s="1">
        <v>182.26</v>
      </c>
      <c r="G22" s="9">
        <v>1.5</v>
      </c>
    </row>
    <row r="23" spans="1:7" x14ac:dyDescent="0.3">
      <c r="A23" s="1">
        <v>22</v>
      </c>
      <c r="B23" s="1">
        <v>2</v>
      </c>
      <c r="C23" s="1" t="s">
        <v>3</v>
      </c>
      <c r="D23" s="2">
        <v>40</v>
      </c>
      <c r="E23" s="3" t="s">
        <v>142</v>
      </c>
      <c r="F23" s="8">
        <v>340</v>
      </c>
      <c r="G23" s="9">
        <v>1.45</v>
      </c>
    </row>
    <row r="24" spans="1:7" x14ac:dyDescent="0.3">
      <c r="A24" s="1">
        <v>23</v>
      </c>
      <c r="B24" s="1">
        <v>3</v>
      </c>
      <c r="C24" s="1" t="s">
        <v>2</v>
      </c>
      <c r="D24" s="2">
        <v>50</v>
      </c>
      <c r="E24" s="3" t="s">
        <v>8</v>
      </c>
      <c r="F24" s="8">
        <v>3000</v>
      </c>
      <c r="G24" s="9">
        <v>1.4</v>
      </c>
    </row>
    <row r="25" spans="1:7" x14ac:dyDescent="0.3">
      <c r="A25" s="1">
        <v>24</v>
      </c>
      <c r="B25" s="1">
        <v>4</v>
      </c>
      <c r="C25" s="1" t="s">
        <v>4</v>
      </c>
      <c r="D25" s="2">
        <v>42</v>
      </c>
      <c r="E25" s="3" t="s">
        <v>9</v>
      </c>
      <c r="F25" s="9">
        <v>202.2</v>
      </c>
      <c r="G25" s="9">
        <v>1.35</v>
      </c>
    </row>
    <row r="26" spans="1:7" x14ac:dyDescent="0.3">
      <c r="A26" s="1">
        <v>25</v>
      </c>
      <c r="B26" s="1">
        <v>5</v>
      </c>
      <c r="C26" s="1" t="s">
        <v>4</v>
      </c>
      <c r="D26" s="2">
        <v>40</v>
      </c>
      <c r="E26" s="3" t="s">
        <v>142</v>
      </c>
      <c r="F26" s="8">
        <v>35</v>
      </c>
      <c r="G26" s="9">
        <v>1.3</v>
      </c>
    </row>
    <row r="27" spans="1:7" x14ac:dyDescent="0.3">
      <c r="A27" s="1">
        <v>26</v>
      </c>
      <c r="B27" s="1">
        <v>1</v>
      </c>
      <c r="C27" s="1" t="s">
        <v>2</v>
      </c>
      <c r="D27" s="2">
        <v>50</v>
      </c>
      <c r="E27" s="3" t="s">
        <v>8</v>
      </c>
      <c r="F27" s="8">
        <v>-3000</v>
      </c>
      <c r="G27" s="9">
        <v>1.25</v>
      </c>
    </row>
    <row r="28" spans="1:7" x14ac:dyDescent="0.3">
      <c r="A28" s="1">
        <v>27</v>
      </c>
      <c r="B28" s="1">
        <v>2</v>
      </c>
      <c r="C28" s="1" t="s">
        <v>3</v>
      </c>
      <c r="D28" s="2">
        <v>40</v>
      </c>
      <c r="E28" s="3" t="s">
        <v>9</v>
      </c>
      <c r="F28" s="1">
        <v>221.05</v>
      </c>
      <c r="G28" s="9">
        <v>1.2</v>
      </c>
    </row>
    <row r="29" spans="1:7" x14ac:dyDescent="0.3">
      <c r="A29" s="1">
        <v>28</v>
      </c>
      <c r="B29" s="1">
        <v>3</v>
      </c>
      <c r="C29" s="1" t="s">
        <v>2</v>
      </c>
      <c r="D29" s="2">
        <v>50</v>
      </c>
      <c r="E29" s="3" t="s">
        <v>142</v>
      </c>
      <c r="F29" s="8">
        <v>250</v>
      </c>
      <c r="G29" s="9">
        <v>1.1499999999999999</v>
      </c>
    </row>
    <row r="30" spans="1:7" x14ac:dyDescent="0.3">
      <c r="A30" s="1">
        <v>29</v>
      </c>
      <c r="B30" s="1">
        <v>4</v>
      </c>
      <c r="C30" s="1" t="s">
        <v>4</v>
      </c>
      <c r="D30" s="2">
        <v>42</v>
      </c>
      <c r="E30" s="3" t="s">
        <v>8</v>
      </c>
      <c r="F30" s="8">
        <v>0</v>
      </c>
      <c r="G30" s="9">
        <v>1.1000000000000001</v>
      </c>
    </row>
    <row r="31" spans="1:7" x14ac:dyDescent="0.3">
      <c r="A31" s="1">
        <v>30</v>
      </c>
      <c r="B31" s="1">
        <v>5</v>
      </c>
      <c r="C31" s="1" t="s">
        <v>4</v>
      </c>
      <c r="D31" s="2">
        <v>40</v>
      </c>
      <c r="E31" s="3" t="s">
        <v>9</v>
      </c>
      <c r="F31" s="9">
        <v>189.5</v>
      </c>
      <c r="G31" s="9">
        <v>1.05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96BDF-C28D-4494-9471-60318C3F5243}">
  <sheetPr>
    <tabColor rgb="FFFF0000"/>
  </sheetPr>
  <dimension ref="A1:T32"/>
  <sheetViews>
    <sheetView workbookViewId="0">
      <pane ySplit="2" topLeftCell="A3" activePane="bottomLeft" state="frozen"/>
      <selection pane="bottomLeft" activeCell="H3" sqref="H3"/>
    </sheetView>
  </sheetViews>
  <sheetFormatPr defaultRowHeight="14.4" x14ac:dyDescent="0.3"/>
  <cols>
    <col min="2" max="2" width="14.5546875" customWidth="1"/>
    <col min="3" max="3" width="8.77734375" customWidth="1"/>
    <col min="4" max="4" width="9.88671875" customWidth="1"/>
    <col min="5" max="5" width="9.77734375" customWidth="1"/>
    <col min="6" max="6" width="10.33203125" customWidth="1"/>
    <col min="9" max="9" width="10.33203125" customWidth="1"/>
    <col min="10" max="10" width="11.44140625" customWidth="1"/>
    <col min="11" max="11" width="13.77734375" customWidth="1"/>
  </cols>
  <sheetData>
    <row r="1" spans="1:15" ht="28.8" customHeight="1" x14ac:dyDescent="0.3">
      <c r="A1" s="140" t="s">
        <v>11</v>
      </c>
      <c r="B1" s="141" t="s">
        <v>99</v>
      </c>
      <c r="C1" s="142" t="s">
        <v>12</v>
      </c>
      <c r="D1" s="143"/>
      <c r="E1" s="143"/>
      <c r="F1" s="143"/>
      <c r="G1" s="144"/>
      <c r="H1" s="142" t="s">
        <v>13</v>
      </c>
      <c r="I1" s="143"/>
      <c r="J1" s="144"/>
      <c r="K1" s="140" t="s">
        <v>14</v>
      </c>
    </row>
    <row r="2" spans="1:15" ht="28.8" x14ac:dyDescent="0.3">
      <c r="A2" s="145"/>
      <c r="B2" s="146"/>
      <c r="C2" s="147" t="s">
        <v>165</v>
      </c>
      <c r="D2" s="147" t="s">
        <v>166</v>
      </c>
      <c r="E2" s="147" t="s">
        <v>100</v>
      </c>
      <c r="F2" s="147" t="s">
        <v>15</v>
      </c>
      <c r="G2" s="147" t="s">
        <v>16</v>
      </c>
      <c r="H2" s="147" t="s">
        <v>17</v>
      </c>
      <c r="I2" s="147" t="s">
        <v>18</v>
      </c>
      <c r="J2" s="147" t="s">
        <v>19</v>
      </c>
      <c r="K2" s="145"/>
    </row>
    <row r="3" spans="1:15" x14ac:dyDescent="0.3">
      <c r="A3" s="2">
        <v>1</v>
      </c>
      <c r="B3" s="2"/>
      <c r="C3" s="1">
        <v>12</v>
      </c>
      <c r="D3" s="1">
        <v>6</v>
      </c>
      <c r="E3" s="1">
        <v>6</v>
      </c>
      <c r="F3" s="1">
        <v>60</v>
      </c>
      <c r="G3" s="1">
        <v>2</v>
      </c>
      <c r="H3" s="1" t="s">
        <v>20</v>
      </c>
      <c r="I3" s="1" t="s">
        <v>36</v>
      </c>
      <c r="J3" s="1" t="s">
        <v>20</v>
      </c>
      <c r="K3" s="2" t="s">
        <v>57</v>
      </c>
    </row>
    <row r="4" spans="1:15" ht="15.6" x14ac:dyDescent="0.3">
      <c r="A4" s="2">
        <v>2</v>
      </c>
      <c r="B4" s="10"/>
      <c r="C4" s="1">
        <v>12</v>
      </c>
      <c r="D4" s="1">
        <v>5</v>
      </c>
      <c r="E4" s="1">
        <v>6</v>
      </c>
      <c r="F4" s="1">
        <v>72</v>
      </c>
      <c r="G4" s="1">
        <v>2</v>
      </c>
      <c r="H4" s="1" t="s">
        <v>21</v>
      </c>
      <c r="I4" s="1" t="s">
        <v>37</v>
      </c>
      <c r="J4" s="1" t="s">
        <v>21</v>
      </c>
      <c r="K4" s="2" t="s">
        <v>58</v>
      </c>
    </row>
    <row r="5" spans="1:15" x14ac:dyDescent="0.3">
      <c r="A5" s="2">
        <v>3</v>
      </c>
      <c r="B5" s="2"/>
      <c r="C5" s="1">
        <v>12</v>
      </c>
      <c r="D5" s="1">
        <v>4</v>
      </c>
      <c r="E5" s="1">
        <v>6</v>
      </c>
      <c r="F5" s="1">
        <v>60</v>
      </c>
      <c r="G5" s="1">
        <v>3</v>
      </c>
      <c r="H5" s="1" t="s">
        <v>22</v>
      </c>
      <c r="I5" s="1" t="s">
        <v>38</v>
      </c>
      <c r="J5" s="1" t="s">
        <v>22</v>
      </c>
      <c r="K5" s="2" t="s">
        <v>59</v>
      </c>
    </row>
    <row r="6" spans="1:15" x14ac:dyDescent="0.3">
      <c r="A6" s="2">
        <v>4</v>
      </c>
      <c r="B6" s="2"/>
      <c r="C6" s="1">
        <v>18</v>
      </c>
      <c r="D6" s="1">
        <v>4</v>
      </c>
      <c r="E6" s="1">
        <v>6</v>
      </c>
      <c r="F6" s="1">
        <v>72</v>
      </c>
      <c r="G6" s="1">
        <v>2</v>
      </c>
      <c r="H6" s="1" t="s">
        <v>23</v>
      </c>
      <c r="I6" s="1" t="s">
        <v>39</v>
      </c>
      <c r="J6" s="1" t="s">
        <v>23</v>
      </c>
      <c r="K6" s="2" t="s">
        <v>60</v>
      </c>
    </row>
    <row r="7" spans="1:15" ht="15.6" x14ac:dyDescent="0.3">
      <c r="A7" s="2">
        <v>5</v>
      </c>
      <c r="B7" s="10"/>
      <c r="C7" s="1">
        <v>18</v>
      </c>
      <c r="D7" s="1">
        <v>3</v>
      </c>
      <c r="E7" s="12">
        <v>6</v>
      </c>
      <c r="F7" s="1">
        <v>72</v>
      </c>
      <c r="G7" s="1">
        <v>3</v>
      </c>
      <c r="H7" s="1" t="s">
        <v>24</v>
      </c>
      <c r="I7" s="1" t="s">
        <v>40</v>
      </c>
      <c r="J7" s="1" t="s">
        <v>24</v>
      </c>
      <c r="K7" s="2" t="s">
        <v>59</v>
      </c>
      <c r="L7" s="11"/>
      <c r="M7" s="11"/>
      <c r="N7" s="11"/>
      <c r="O7" s="11"/>
    </row>
    <row r="8" spans="1:15" x14ac:dyDescent="0.3">
      <c r="A8" s="2">
        <v>6</v>
      </c>
      <c r="B8" s="2"/>
      <c r="C8" s="1">
        <v>18</v>
      </c>
      <c r="D8" s="1">
        <v>5</v>
      </c>
      <c r="E8" s="1">
        <v>12</v>
      </c>
      <c r="F8" s="1">
        <v>60</v>
      </c>
      <c r="G8" s="1">
        <v>3</v>
      </c>
      <c r="H8" s="1" t="s">
        <v>25</v>
      </c>
      <c r="I8" s="1" t="s">
        <v>41</v>
      </c>
      <c r="J8" s="1" t="s">
        <v>25</v>
      </c>
      <c r="K8" s="2" t="s">
        <v>58</v>
      </c>
    </row>
    <row r="9" spans="1:15" x14ac:dyDescent="0.3">
      <c r="A9" s="2">
        <v>7</v>
      </c>
      <c r="B9" s="2"/>
      <c r="C9" s="1">
        <v>18</v>
      </c>
      <c r="D9" s="1">
        <v>4</v>
      </c>
      <c r="E9" s="1">
        <v>12</v>
      </c>
      <c r="F9" s="1">
        <v>72</v>
      </c>
      <c r="G9" s="1">
        <v>3</v>
      </c>
      <c r="H9" s="1" t="s">
        <v>26</v>
      </c>
      <c r="I9" s="1" t="s">
        <v>42</v>
      </c>
      <c r="J9" s="1" t="s">
        <v>21</v>
      </c>
      <c r="K9" s="2" t="s">
        <v>60</v>
      </c>
    </row>
    <row r="10" spans="1:15" x14ac:dyDescent="0.3">
      <c r="A10" s="2">
        <v>8</v>
      </c>
      <c r="B10" s="2"/>
      <c r="C10" s="1">
        <v>24</v>
      </c>
      <c r="D10" s="1">
        <v>4</v>
      </c>
      <c r="E10" s="1">
        <v>6</v>
      </c>
      <c r="F10" s="1">
        <v>60</v>
      </c>
      <c r="G10" s="1">
        <v>2</v>
      </c>
      <c r="H10" s="1" t="s">
        <v>27</v>
      </c>
      <c r="I10" s="1" t="s">
        <v>43</v>
      </c>
      <c r="J10" s="1" t="s">
        <v>39</v>
      </c>
      <c r="K10" s="2" t="s">
        <v>57</v>
      </c>
    </row>
    <row r="11" spans="1:15" x14ac:dyDescent="0.3">
      <c r="A11" s="2">
        <v>9</v>
      </c>
      <c r="B11" s="2"/>
      <c r="C11" s="1">
        <v>24</v>
      </c>
      <c r="D11" s="1">
        <v>3</v>
      </c>
      <c r="E11" s="1">
        <v>6</v>
      </c>
      <c r="F11" s="1">
        <v>72</v>
      </c>
      <c r="G11" s="1">
        <v>2</v>
      </c>
      <c r="H11" s="1" t="s">
        <v>28</v>
      </c>
      <c r="I11" s="1" t="s">
        <v>44</v>
      </c>
      <c r="J11" s="1" t="s">
        <v>51</v>
      </c>
      <c r="K11" s="2" t="s">
        <v>59</v>
      </c>
    </row>
    <row r="12" spans="1:15" x14ac:dyDescent="0.3">
      <c r="A12" s="2">
        <v>10</v>
      </c>
      <c r="B12" s="2"/>
      <c r="C12" s="1">
        <v>24</v>
      </c>
      <c r="D12" s="1">
        <v>4</v>
      </c>
      <c r="E12" s="1">
        <v>12</v>
      </c>
      <c r="F12" s="1">
        <v>60</v>
      </c>
      <c r="G12" s="1">
        <v>3</v>
      </c>
      <c r="H12" s="1" t="s">
        <v>29</v>
      </c>
      <c r="I12" s="1" t="s">
        <v>45</v>
      </c>
      <c r="J12" s="1" t="s">
        <v>52</v>
      </c>
      <c r="K12" s="2" t="s">
        <v>60</v>
      </c>
    </row>
    <row r="13" spans="1:15" x14ac:dyDescent="0.3">
      <c r="A13" s="2">
        <v>11</v>
      </c>
      <c r="B13" s="2"/>
      <c r="C13" s="1">
        <v>24</v>
      </c>
      <c r="D13" s="1">
        <v>3</v>
      </c>
      <c r="E13" s="1">
        <v>12</v>
      </c>
      <c r="F13" s="1">
        <v>72</v>
      </c>
      <c r="G13" s="1">
        <v>3</v>
      </c>
      <c r="H13" s="1" t="s">
        <v>30</v>
      </c>
      <c r="I13" s="1" t="s">
        <v>46</v>
      </c>
      <c r="J13" s="1" t="s">
        <v>51</v>
      </c>
      <c r="K13" s="2" t="s">
        <v>57</v>
      </c>
    </row>
    <row r="14" spans="1:15" x14ac:dyDescent="0.3">
      <c r="A14" s="2">
        <v>12</v>
      </c>
      <c r="B14" s="2"/>
      <c r="C14" s="1">
        <v>18</v>
      </c>
      <c r="D14" s="1">
        <v>4</v>
      </c>
      <c r="E14" s="1">
        <v>12</v>
      </c>
      <c r="F14" s="1">
        <v>60</v>
      </c>
      <c r="G14" s="1">
        <v>3</v>
      </c>
      <c r="H14" s="1" t="s">
        <v>31</v>
      </c>
      <c r="I14" s="1" t="s">
        <v>28</v>
      </c>
      <c r="J14" s="1" t="s">
        <v>25</v>
      </c>
      <c r="K14" s="2" t="s">
        <v>60</v>
      </c>
    </row>
    <row r="15" spans="1:15" x14ac:dyDescent="0.3">
      <c r="A15" s="2">
        <v>13</v>
      </c>
      <c r="B15" s="2"/>
      <c r="C15" s="1">
        <v>18</v>
      </c>
      <c r="D15" s="1">
        <v>4</v>
      </c>
      <c r="E15" s="1">
        <v>12</v>
      </c>
      <c r="F15" s="1">
        <v>72</v>
      </c>
      <c r="G15" s="1">
        <v>2</v>
      </c>
      <c r="H15" s="1" t="s">
        <v>32</v>
      </c>
      <c r="I15" s="1" t="s">
        <v>47</v>
      </c>
      <c r="J15" s="1" t="s">
        <v>53</v>
      </c>
      <c r="K15" s="2" t="s">
        <v>57</v>
      </c>
    </row>
    <row r="16" spans="1:15" x14ac:dyDescent="0.3">
      <c r="A16" s="2">
        <v>14</v>
      </c>
      <c r="B16" s="2"/>
      <c r="C16" s="1">
        <v>24</v>
      </c>
      <c r="D16" s="1">
        <v>3</v>
      </c>
      <c r="E16" s="1">
        <v>12</v>
      </c>
      <c r="F16" s="1">
        <v>72</v>
      </c>
      <c r="G16" s="1">
        <v>3</v>
      </c>
      <c r="H16" s="1" t="s">
        <v>33</v>
      </c>
      <c r="I16" s="1" t="s">
        <v>48</v>
      </c>
      <c r="J16" s="1" t="s">
        <v>54</v>
      </c>
      <c r="K16" s="2" t="s">
        <v>60</v>
      </c>
    </row>
    <row r="17" spans="1:20" x14ac:dyDescent="0.3">
      <c r="A17" s="2">
        <v>15</v>
      </c>
      <c r="B17" s="2"/>
      <c r="C17" s="1">
        <v>18</v>
      </c>
      <c r="D17" s="1">
        <v>4</v>
      </c>
      <c r="E17" s="1">
        <v>12</v>
      </c>
      <c r="F17" s="1">
        <v>60</v>
      </c>
      <c r="G17" s="1">
        <v>3</v>
      </c>
      <c r="H17" s="1" t="s">
        <v>34</v>
      </c>
      <c r="I17" s="1" t="s">
        <v>49</v>
      </c>
      <c r="J17" s="1" t="s">
        <v>55</v>
      </c>
      <c r="K17" s="2" t="s">
        <v>58</v>
      </c>
    </row>
    <row r="18" spans="1:20" x14ac:dyDescent="0.3">
      <c r="A18" s="2">
        <v>16</v>
      </c>
      <c r="B18" s="2"/>
      <c r="C18" s="1">
        <v>18</v>
      </c>
      <c r="D18" s="1">
        <v>3</v>
      </c>
      <c r="E18" s="1">
        <v>12</v>
      </c>
      <c r="F18" s="1">
        <v>72</v>
      </c>
      <c r="G18" s="1">
        <v>2</v>
      </c>
      <c r="H18" s="1" t="s">
        <v>35</v>
      </c>
      <c r="I18" s="1" t="s">
        <v>50</v>
      </c>
      <c r="J18" s="1" t="s">
        <v>56</v>
      </c>
      <c r="K18" s="2" t="s">
        <v>59</v>
      </c>
    </row>
    <row r="19" spans="1:20" x14ac:dyDescent="0.3">
      <c r="A19" s="2">
        <v>17</v>
      </c>
      <c r="B19" s="2"/>
      <c r="C19" s="1">
        <v>24</v>
      </c>
      <c r="D19" s="8">
        <v>44</v>
      </c>
      <c r="E19" s="1">
        <v>12</v>
      </c>
      <c r="F19" s="1">
        <v>72</v>
      </c>
      <c r="G19" s="8">
        <v>2</v>
      </c>
      <c r="H19" s="1" t="s">
        <v>61</v>
      </c>
      <c r="I19" s="1" t="s">
        <v>76</v>
      </c>
      <c r="J19" s="1" t="s">
        <v>89</v>
      </c>
      <c r="K19" s="2" t="s">
        <v>60</v>
      </c>
    </row>
    <row r="20" spans="1:20" x14ac:dyDescent="0.3">
      <c r="A20" s="2">
        <v>18</v>
      </c>
      <c r="B20" s="2"/>
      <c r="C20" s="1">
        <v>24</v>
      </c>
      <c r="D20" s="8">
        <v>3</v>
      </c>
      <c r="E20" s="1">
        <v>12</v>
      </c>
      <c r="F20" s="1">
        <v>60</v>
      </c>
      <c r="G20" s="1">
        <v>3</v>
      </c>
      <c r="H20" s="1" t="s">
        <v>62</v>
      </c>
      <c r="I20" s="1" t="s">
        <v>77</v>
      </c>
      <c r="J20" s="1" t="s">
        <v>90</v>
      </c>
      <c r="K20" s="2" t="s">
        <v>58</v>
      </c>
    </row>
    <row r="21" spans="1:20" x14ac:dyDescent="0.3">
      <c r="A21" s="2">
        <v>19</v>
      </c>
      <c r="B21" s="2"/>
      <c r="C21" s="1">
        <v>24</v>
      </c>
      <c r="D21" s="8">
        <v>5</v>
      </c>
      <c r="E21" s="1">
        <v>12</v>
      </c>
      <c r="F21" s="1">
        <v>60</v>
      </c>
      <c r="G21" s="1">
        <v>2</v>
      </c>
      <c r="H21" s="1" t="s">
        <v>63</v>
      </c>
      <c r="I21" s="1" t="s">
        <v>78</v>
      </c>
      <c r="J21" s="1" t="s">
        <v>91</v>
      </c>
      <c r="K21" s="2" t="s">
        <v>57</v>
      </c>
    </row>
    <row r="22" spans="1:20" x14ac:dyDescent="0.3">
      <c r="A22" s="2">
        <v>20</v>
      </c>
      <c r="B22" s="2"/>
      <c r="C22" s="1">
        <v>18</v>
      </c>
      <c r="D22" s="8">
        <v>5</v>
      </c>
      <c r="E22" s="1">
        <v>12</v>
      </c>
      <c r="F22" s="1">
        <v>60</v>
      </c>
      <c r="G22" s="1">
        <v>2</v>
      </c>
      <c r="H22" s="1" t="s">
        <v>64</v>
      </c>
      <c r="I22" s="1" t="s">
        <v>79</v>
      </c>
      <c r="J22" s="1" t="s">
        <v>92</v>
      </c>
      <c r="K22" s="2" t="s">
        <v>60</v>
      </c>
    </row>
    <row r="23" spans="1:20" x14ac:dyDescent="0.3">
      <c r="A23" s="2">
        <v>21</v>
      </c>
      <c r="B23" s="2"/>
      <c r="C23" s="1">
        <v>18</v>
      </c>
      <c r="D23" s="8">
        <v>4</v>
      </c>
      <c r="E23" s="1">
        <v>6</v>
      </c>
      <c r="F23" s="1">
        <v>60</v>
      </c>
      <c r="G23" s="1">
        <v>3</v>
      </c>
      <c r="H23" s="1" t="s">
        <v>65</v>
      </c>
      <c r="I23" s="1" t="s">
        <v>80</v>
      </c>
      <c r="J23" s="1" t="s">
        <v>74</v>
      </c>
      <c r="K23" s="2" t="s">
        <v>58</v>
      </c>
    </row>
    <row r="24" spans="1:20" x14ac:dyDescent="0.3">
      <c r="A24" s="2">
        <v>22</v>
      </c>
      <c r="B24" s="2"/>
      <c r="C24" s="1">
        <v>18</v>
      </c>
      <c r="D24" s="8">
        <v>3</v>
      </c>
      <c r="E24" s="8">
        <v>6</v>
      </c>
      <c r="F24" s="1">
        <v>72</v>
      </c>
      <c r="G24" s="1">
        <v>2</v>
      </c>
      <c r="H24" s="1" t="s">
        <v>66</v>
      </c>
      <c r="I24" s="1" t="s">
        <v>81</v>
      </c>
      <c r="J24" s="1" t="s">
        <v>93</v>
      </c>
      <c r="K24" s="2" t="s">
        <v>59</v>
      </c>
    </row>
    <row r="25" spans="1:20" x14ac:dyDescent="0.3">
      <c r="A25" s="2">
        <v>23</v>
      </c>
      <c r="B25" s="2"/>
      <c r="C25" s="1">
        <v>24</v>
      </c>
      <c r="D25" s="8">
        <v>4</v>
      </c>
      <c r="E25" s="8">
        <v>6</v>
      </c>
      <c r="F25" s="1">
        <v>60</v>
      </c>
      <c r="G25" s="1">
        <v>2</v>
      </c>
      <c r="H25" s="1" t="s">
        <v>67</v>
      </c>
      <c r="I25" s="1" t="s">
        <v>82</v>
      </c>
      <c r="J25" s="1" t="s">
        <v>94</v>
      </c>
      <c r="K25" s="2" t="s">
        <v>60</v>
      </c>
    </row>
    <row r="26" spans="1:20" x14ac:dyDescent="0.3">
      <c r="A26" s="2">
        <v>24</v>
      </c>
      <c r="B26" s="2"/>
      <c r="C26" s="1">
        <v>18</v>
      </c>
      <c r="D26" s="8">
        <v>5</v>
      </c>
      <c r="E26" s="1">
        <v>12</v>
      </c>
      <c r="F26" s="1">
        <v>60</v>
      </c>
      <c r="G26" s="1">
        <v>2</v>
      </c>
      <c r="H26" s="1" t="s">
        <v>68</v>
      </c>
      <c r="I26" s="1" t="s">
        <v>83</v>
      </c>
      <c r="J26" s="1" t="s">
        <v>54</v>
      </c>
      <c r="K26" s="2" t="s">
        <v>57</v>
      </c>
    </row>
    <row r="27" spans="1:20" x14ac:dyDescent="0.3">
      <c r="A27" s="2">
        <v>25</v>
      </c>
      <c r="B27" s="2"/>
      <c r="C27" s="1">
        <v>18</v>
      </c>
      <c r="D27" s="8">
        <v>4</v>
      </c>
      <c r="E27" s="1">
        <v>12</v>
      </c>
      <c r="F27" s="1">
        <v>72</v>
      </c>
      <c r="G27" s="1">
        <v>2</v>
      </c>
      <c r="H27" s="1" t="s">
        <v>69</v>
      </c>
      <c r="I27" s="1" t="s">
        <v>84</v>
      </c>
      <c r="J27" s="1" t="s">
        <v>88</v>
      </c>
      <c r="K27" s="2" t="s">
        <v>58</v>
      </c>
    </row>
    <row r="28" spans="1:20" x14ac:dyDescent="0.3">
      <c r="A28" s="2">
        <v>26</v>
      </c>
      <c r="B28" s="2"/>
      <c r="C28" s="1">
        <v>24</v>
      </c>
      <c r="D28" s="8">
        <v>5</v>
      </c>
      <c r="E28" s="1">
        <v>12</v>
      </c>
      <c r="F28" s="1">
        <v>60</v>
      </c>
      <c r="G28" s="1">
        <v>2</v>
      </c>
      <c r="H28" s="1" t="s">
        <v>70</v>
      </c>
      <c r="I28" s="1" t="s">
        <v>85</v>
      </c>
      <c r="J28" s="1" t="s">
        <v>95</v>
      </c>
      <c r="K28" s="2" t="s">
        <v>59</v>
      </c>
    </row>
    <row r="29" spans="1:20" ht="15.6" x14ac:dyDescent="0.3">
      <c r="A29" s="2">
        <v>27</v>
      </c>
      <c r="B29" s="10"/>
      <c r="C29" s="1">
        <v>24</v>
      </c>
      <c r="D29" s="12">
        <v>3</v>
      </c>
      <c r="E29" s="1">
        <v>12</v>
      </c>
      <c r="F29" s="1">
        <v>60</v>
      </c>
      <c r="G29" s="12">
        <v>3</v>
      </c>
      <c r="H29" s="1" t="s">
        <v>71</v>
      </c>
      <c r="I29" s="1" t="s">
        <v>66</v>
      </c>
      <c r="J29" s="1" t="s">
        <v>96</v>
      </c>
      <c r="K29" s="2" t="s">
        <v>59</v>
      </c>
      <c r="T29" s="10"/>
    </row>
    <row r="30" spans="1:20" x14ac:dyDescent="0.3">
      <c r="A30" s="2">
        <v>28</v>
      </c>
      <c r="B30" s="2"/>
      <c r="C30" s="1">
        <v>24</v>
      </c>
      <c r="D30" s="8">
        <v>4</v>
      </c>
      <c r="E30" s="1">
        <v>12</v>
      </c>
      <c r="F30" s="1">
        <v>72</v>
      </c>
      <c r="G30" s="1">
        <v>2</v>
      </c>
      <c r="H30" s="1" t="s">
        <v>72</v>
      </c>
      <c r="I30" s="1" t="s">
        <v>86</v>
      </c>
      <c r="J30" s="1" t="s">
        <v>97</v>
      </c>
      <c r="K30" s="2" t="s">
        <v>58</v>
      </c>
    </row>
    <row r="31" spans="1:20" x14ac:dyDescent="0.3">
      <c r="A31" s="2">
        <v>29</v>
      </c>
      <c r="B31" s="2"/>
      <c r="C31" s="1">
        <v>9</v>
      </c>
      <c r="D31" s="8">
        <v>8</v>
      </c>
      <c r="E31" s="8">
        <v>6</v>
      </c>
      <c r="F31" s="1">
        <v>60</v>
      </c>
      <c r="G31" s="1">
        <v>3</v>
      </c>
      <c r="H31" s="1" t="s">
        <v>73</v>
      </c>
      <c r="I31" s="1" t="s">
        <v>87</v>
      </c>
      <c r="J31" s="1" t="s">
        <v>98</v>
      </c>
      <c r="K31" s="2" t="s">
        <v>57</v>
      </c>
    </row>
    <row r="32" spans="1:20" x14ac:dyDescent="0.3">
      <c r="A32" s="2">
        <v>30</v>
      </c>
      <c r="B32" s="2"/>
      <c r="C32" s="1">
        <v>12</v>
      </c>
      <c r="D32" s="8">
        <v>6</v>
      </c>
      <c r="E32" s="8">
        <v>6</v>
      </c>
      <c r="F32" s="1">
        <v>72</v>
      </c>
      <c r="G32" s="1">
        <v>2</v>
      </c>
      <c r="H32" s="1" t="s">
        <v>74</v>
      </c>
      <c r="I32" s="1" t="s">
        <v>75</v>
      </c>
      <c r="J32" s="1" t="s">
        <v>98</v>
      </c>
      <c r="K32" s="2" t="s">
        <v>60</v>
      </c>
    </row>
  </sheetData>
  <mergeCells count="5">
    <mergeCell ref="K1:K2"/>
    <mergeCell ref="H1:J1"/>
    <mergeCell ref="C1:G1"/>
    <mergeCell ref="B1:B2"/>
    <mergeCell ref="A1:A2"/>
  </mergeCells>
  <pageMargins left="0.7" right="0.7" top="0.75" bottom="0.75" header="0.3" footer="0.3"/>
  <pageSetup paperSize="9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2E4F8-FFA5-47C8-9E23-BB37864BDD7B}">
  <sheetPr>
    <tabColor rgb="FF0070C0"/>
  </sheetPr>
  <dimension ref="A1:N101"/>
  <sheetViews>
    <sheetView workbookViewId="0">
      <pane xSplit="1" ySplit="3" topLeftCell="B88" activePane="bottomRight" state="frozen"/>
      <selection pane="topRight" activeCell="B1" sqref="B1"/>
      <selection pane="bottomLeft" activeCell="A3" sqref="A3"/>
      <selection pane="bottomRight" activeCell="P9" sqref="P9"/>
    </sheetView>
  </sheetViews>
  <sheetFormatPr defaultRowHeight="15.6" x14ac:dyDescent="0.3"/>
  <cols>
    <col min="1" max="1" width="12.6640625" style="126" customWidth="1"/>
    <col min="2" max="3" width="8.88671875" style="127"/>
    <col min="4" max="6" width="7.33203125" style="127" customWidth="1"/>
    <col min="7" max="7" width="10.6640625" style="127" customWidth="1"/>
    <col min="8" max="8" width="13" style="127" customWidth="1"/>
    <col min="9" max="9" width="12.33203125" style="126" customWidth="1"/>
    <col min="10" max="10" width="17.33203125" style="126" customWidth="1"/>
    <col min="11" max="11" width="15.33203125" style="126" customWidth="1"/>
    <col min="12" max="12" width="9.6640625" style="126" customWidth="1"/>
    <col min="13" max="16384" width="8.88671875" style="126"/>
  </cols>
  <sheetData>
    <row r="1" spans="1:14" ht="21" customHeight="1" x14ac:dyDescent="0.3">
      <c r="A1" s="132" t="s">
        <v>195</v>
      </c>
      <c r="B1" s="132" t="s">
        <v>197</v>
      </c>
      <c r="C1" s="135" t="s">
        <v>167</v>
      </c>
      <c r="D1" s="136"/>
      <c r="E1" s="136"/>
      <c r="F1" s="136"/>
      <c r="G1" s="136"/>
      <c r="H1" s="136"/>
      <c r="I1" s="136"/>
      <c r="J1" s="137"/>
      <c r="K1" s="132" t="s">
        <v>206</v>
      </c>
      <c r="L1" s="132" t="s">
        <v>210</v>
      </c>
      <c r="M1" s="132"/>
      <c r="N1" s="132"/>
    </row>
    <row r="2" spans="1:14" ht="21" customHeight="1" x14ac:dyDescent="0.3">
      <c r="A2" s="132"/>
      <c r="B2" s="132"/>
      <c r="C2" s="132" t="s">
        <v>196</v>
      </c>
      <c r="D2" s="132" t="s">
        <v>198</v>
      </c>
      <c r="E2" s="132"/>
      <c r="F2" s="132"/>
      <c r="G2" s="132" t="s">
        <v>202</v>
      </c>
      <c r="H2" s="132"/>
      <c r="I2" s="132"/>
      <c r="J2" s="138" t="s">
        <v>248</v>
      </c>
      <c r="K2" s="132"/>
      <c r="L2" s="133" t="s">
        <v>211</v>
      </c>
      <c r="M2" s="133" t="s">
        <v>169</v>
      </c>
      <c r="N2" s="133" t="s">
        <v>168</v>
      </c>
    </row>
    <row r="3" spans="1:14" ht="18" x14ac:dyDescent="0.3">
      <c r="A3" s="132"/>
      <c r="B3" s="132"/>
      <c r="C3" s="132"/>
      <c r="D3" s="134" t="s">
        <v>199</v>
      </c>
      <c r="E3" s="133" t="s">
        <v>200</v>
      </c>
      <c r="F3" s="133" t="s">
        <v>201</v>
      </c>
      <c r="G3" s="134" t="s">
        <v>203</v>
      </c>
      <c r="H3" s="133" t="s">
        <v>204</v>
      </c>
      <c r="I3" s="133" t="s">
        <v>205</v>
      </c>
      <c r="J3" s="139"/>
      <c r="K3" s="132"/>
      <c r="L3" s="133" t="s">
        <v>212</v>
      </c>
      <c r="M3" s="133" t="s">
        <v>213</v>
      </c>
      <c r="N3" s="133" t="s">
        <v>214</v>
      </c>
    </row>
    <row r="4" spans="1:14" x14ac:dyDescent="0.3">
      <c r="A4" s="12" t="s">
        <v>73</v>
      </c>
      <c r="B4" s="12">
        <v>1.4</v>
      </c>
      <c r="C4" s="12">
        <v>1500</v>
      </c>
      <c r="D4" s="12">
        <v>1500</v>
      </c>
      <c r="E4" s="12" t="s">
        <v>171</v>
      </c>
      <c r="F4" s="12" t="s">
        <v>171</v>
      </c>
      <c r="G4" s="12">
        <v>1500</v>
      </c>
      <c r="H4" s="12" t="s">
        <v>98</v>
      </c>
      <c r="I4" s="12" t="s">
        <v>98</v>
      </c>
      <c r="J4" s="12">
        <v>300</v>
      </c>
      <c r="K4" s="12" t="s">
        <v>207</v>
      </c>
      <c r="L4" s="12">
        <v>550</v>
      </c>
      <c r="M4" s="12">
        <v>450</v>
      </c>
      <c r="N4" s="12">
        <v>800</v>
      </c>
    </row>
    <row r="5" spans="1:14" x14ac:dyDescent="0.3">
      <c r="A5" s="12" t="s">
        <v>20</v>
      </c>
      <c r="B5" s="12">
        <v>1.7</v>
      </c>
      <c r="C5" s="12">
        <v>1800</v>
      </c>
      <c r="D5" s="12">
        <v>1500</v>
      </c>
      <c r="E5" s="12" t="s">
        <v>171</v>
      </c>
      <c r="F5" s="12" t="s">
        <v>171</v>
      </c>
      <c r="G5" s="12">
        <v>1500</v>
      </c>
      <c r="H5" s="12" t="s">
        <v>98</v>
      </c>
      <c r="I5" s="12" t="s">
        <v>98</v>
      </c>
      <c r="J5" s="12">
        <v>300</v>
      </c>
      <c r="K5" s="12" t="s">
        <v>207</v>
      </c>
      <c r="L5" s="12">
        <v>550</v>
      </c>
      <c r="M5" s="12">
        <v>450</v>
      </c>
      <c r="N5" s="12">
        <v>800</v>
      </c>
    </row>
    <row r="6" spans="1:14" x14ac:dyDescent="0.3">
      <c r="A6" s="12" t="s">
        <v>22</v>
      </c>
      <c r="B6" s="12">
        <v>2.2000000000000002</v>
      </c>
      <c r="C6" s="12">
        <v>2400</v>
      </c>
      <c r="D6" s="12">
        <v>1500</v>
      </c>
      <c r="E6" s="12" t="s">
        <v>171</v>
      </c>
      <c r="F6" s="12" t="s">
        <v>171</v>
      </c>
      <c r="G6" s="12">
        <v>1500</v>
      </c>
      <c r="H6" s="12" t="s">
        <v>98</v>
      </c>
      <c r="I6" s="12" t="s">
        <v>98</v>
      </c>
      <c r="J6" s="12">
        <v>300</v>
      </c>
      <c r="K6" s="12" t="s">
        <v>207</v>
      </c>
      <c r="L6" s="12">
        <v>550</v>
      </c>
      <c r="M6" s="12">
        <v>450</v>
      </c>
      <c r="N6" s="12">
        <v>800</v>
      </c>
    </row>
    <row r="7" spans="1:14" x14ac:dyDescent="0.3">
      <c r="A7" s="12" t="s">
        <v>170</v>
      </c>
      <c r="B7" s="12">
        <v>2.7</v>
      </c>
      <c r="C7" s="12">
        <v>3000</v>
      </c>
      <c r="D7" s="12">
        <v>1500</v>
      </c>
      <c r="E7" s="12" t="s">
        <v>171</v>
      </c>
      <c r="F7" s="12" t="s">
        <v>171</v>
      </c>
      <c r="G7" s="12">
        <v>1500</v>
      </c>
      <c r="H7" s="12" t="s">
        <v>98</v>
      </c>
      <c r="I7" s="12" t="s">
        <v>98</v>
      </c>
      <c r="J7" s="12">
        <v>300</v>
      </c>
      <c r="K7" s="12" t="s">
        <v>207</v>
      </c>
      <c r="L7" s="12">
        <v>550</v>
      </c>
      <c r="M7" s="12">
        <v>450</v>
      </c>
      <c r="N7" s="12">
        <v>800</v>
      </c>
    </row>
    <row r="8" spans="1:14" x14ac:dyDescent="0.3">
      <c r="A8" s="12" t="s">
        <v>87</v>
      </c>
      <c r="B8" s="12">
        <v>1.6</v>
      </c>
      <c r="C8" s="12">
        <v>1500</v>
      </c>
      <c r="D8" s="12">
        <v>1800</v>
      </c>
      <c r="E8" s="12" t="s">
        <v>171</v>
      </c>
      <c r="F8" s="12" t="s">
        <v>171</v>
      </c>
      <c r="G8" s="12">
        <v>1500</v>
      </c>
      <c r="H8" s="12" t="s">
        <v>98</v>
      </c>
      <c r="I8" s="12" t="s">
        <v>98</v>
      </c>
      <c r="J8" s="12">
        <v>300</v>
      </c>
      <c r="K8" s="12" t="s">
        <v>207</v>
      </c>
      <c r="L8" s="12">
        <v>550</v>
      </c>
      <c r="M8" s="12">
        <v>450</v>
      </c>
      <c r="N8" s="12">
        <v>800</v>
      </c>
    </row>
    <row r="9" spans="1:14" x14ac:dyDescent="0.3">
      <c r="A9" s="12" t="s">
        <v>36</v>
      </c>
      <c r="B9" s="12">
        <v>1.8</v>
      </c>
      <c r="C9" s="12">
        <v>1800</v>
      </c>
      <c r="D9" s="12">
        <v>1800</v>
      </c>
      <c r="E9" s="12" t="s">
        <v>171</v>
      </c>
      <c r="F9" s="12" t="s">
        <v>171</v>
      </c>
      <c r="G9" s="12">
        <v>1500</v>
      </c>
      <c r="H9" s="12" t="s">
        <v>98</v>
      </c>
      <c r="I9" s="12" t="s">
        <v>98</v>
      </c>
      <c r="J9" s="12">
        <v>300</v>
      </c>
      <c r="K9" s="12" t="s">
        <v>207</v>
      </c>
      <c r="L9" s="12">
        <v>550</v>
      </c>
      <c r="M9" s="12">
        <v>450</v>
      </c>
      <c r="N9" s="12">
        <v>800</v>
      </c>
    </row>
    <row r="10" spans="1:14" x14ac:dyDescent="0.3">
      <c r="A10" s="12" t="s">
        <v>38</v>
      </c>
      <c r="B10" s="12">
        <v>2.2999999999999998</v>
      </c>
      <c r="C10" s="12">
        <v>2400</v>
      </c>
      <c r="D10" s="12">
        <v>1800</v>
      </c>
      <c r="E10" s="12" t="s">
        <v>171</v>
      </c>
      <c r="F10" s="12" t="s">
        <v>171</v>
      </c>
      <c r="G10" s="12">
        <v>1500</v>
      </c>
      <c r="H10" s="12" t="s">
        <v>98</v>
      </c>
      <c r="I10" s="12" t="s">
        <v>98</v>
      </c>
      <c r="J10" s="12">
        <v>300</v>
      </c>
      <c r="K10" s="12" t="s">
        <v>207</v>
      </c>
      <c r="L10" s="12">
        <v>550</v>
      </c>
      <c r="M10" s="12">
        <v>450</v>
      </c>
      <c r="N10" s="12">
        <v>800</v>
      </c>
    </row>
    <row r="11" spans="1:14" x14ac:dyDescent="0.3">
      <c r="A11" s="12" t="s">
        <v>96</v>
      </c>
      <c r="B11" s="12">
        <v>2.8</v>
      </c>
      <c r="C11" s="12">
        <v>3000</v>
      </c>
      <c r="D11" s="12">
        <v>1800</v>
      </c>
      <c r="E11" s="12" t="s">
        <v>171</v>
      </c>
      <c r="F11" s="12" t="s">
        <v>171</v>
      </c>
      <c r="G11" s="12">
        <v>1500</v>
      </c>
      <c r="H11" s="12" t="s">
        <v>98</v>
      </c>
      <c r="I11" s="12" t="s">
        <v>98</v>
      </c>
      <c r="J11" s="12">
        <v>300</v>
      </c>
      <c r="K11" s="12" t="s">
        <v>207</v>
      </c>
      <c r="L11" s="12">
        <v>550</v>
      </c>
      <c r="M11" s="12">
        <v>450</v>
      </c>
      <c r="N11" s="12">
        <v>800</v>
      </c>
    </row>
    <row r="12" spans="1:14" x14ac:dyDescent="0.3">
      <c r="A12" s="12" t="s">
        <v>21</v>
      </c>
      <c r="B12" s="12">
        <v>1.8</v>
      </c>
      <c r="C12" s="12">
        <v>1500</v>
      </c>
      <c r="D12" s="12">
        <v>1800</v>
      </c>
      <c r="E12" s="12" t="s">
        <v>171</v>
      </c>
      <c r="F12" s="12" t="s">
        <v>171</v>
      </c>
      <c r="G12" s="12">
        <v>1500</v>
      </c>
      <c r="H12" s="12" t="s">
        <v>98</v>
      </c>
      <c r="I12" s="12" t="s">
        <v>98</v>
      </c>
      <c r="J12" s="12">
        <v>450</v>
      </c>
      <c r="K12" s="12" t="s">
        <v>207</v>
      </c>
      <c r="L12" s="12">
        <v>550</v>
      </c>
      <c r="M12" s="12">
        <v>450</v>
      </c>
      <c r="N12" s="12">
        <v>800</v>
      </c>
    </row>
    <row r="13" spans="1:14" x14ac:dyDescent="0.3">
      <c r="A13" s="12" t="s">
        <v>23</v>
      </c>
      <c r="B13" s="12">
        <v>2.1</v>
      </c>
      <c r="C13" s="12">
        <v>1800</v>
      </c>
      <c r="D13" s="12">
        <v>1801</v>
      </c>
      <c r="E13" s="12" t="s">
        <v>171</v>
      </c>
      <c r="F13" s="12" t="s">
        <v>171</v>
      </c>
      <c r="G13" s="12">
        <v>1500</v>
      </c>
      <c r="H13" s="12" t="s">
        <v>98</v>
      </c>
      <c r="I13" s="12" t="s">
        <v>98</v>
      </c>
      <c r="J13" s="12">
        <v>450</v>
      </c>
      <c r="K13" s="12" t="s">
        <v>207</v>
      </c>
      <c r="L13" s="12">
        <v>550</v>
      </c>
      <c r="M13" s="12">
        <v>450</v>
      </c>
      <c r="N13" s="12">
        <v>800</v>
      </c>
    </row>
    <row r="14" spans="1:14" x14ac:dyDescent="0.3">
      <c r="A14" s="12" t="s">
        <v>94</v>
      </c>
      <c r="B14" s="12">
        <v>2.6</v>
      </c>
      <c r="C14" s="12">
        <v>2400</v>
      </c>
      <c r="D14" s="12">
        <v>1802</v>
      </c>
      <c r="E14" s="12" t="s">
        <v>171</v>
      </c>
      <c r="F14" s="12" t="s">
        <v>171</v>
      </c>
      <c r="G14" s="12">
        <v>1500</v>
      </c>
      <c r="H14" s="12" t="s">
        <v>98</v>
      </c>
      <c r="I14" s="12" t="s">
        <v>98</v>
      </c>
      <c r="J14" s="12">
        <v>450</v>
      </c>
      <c r="K14" s="12" t="s">
        <v>207</v>
      </c>
      <c r="L14" s="12">
        <v>550</v>
      </c>
      <c r="M14" s="12">
        <v>450</v>
      </c>
      <c r="N14" s="12">
        <v>800</v>
      </c>
    </row>
    <row r="15" spans="1:14" x14ac:dyDescent="0.3">
      <c r="A15" s="12" t="s">
        <v>24</v>
      </c>
      <c r="B15" s="12">
        <v>3.1</v>
      </c>
      <c r="C15" s="12">
        <v>3000</v>
      </c>
      <c r="D15" s="12">
        <v>1803</v>
      </c>
      <c r="E15" s="12" t="s">
        <v>171</v>
      </c>
      <c r="F15" s="12" t="s">
        <v>171</v>
      </c>
      <c r="G15" s="12">
        <v>1500</v>
      </c>
      <c r="H15" s="12" t="s">
        <v>98</v>
      </c>
      <c r="I15" s="12" t="s">
        <v>98</v>
      </c>
      <c r="J15" s="12">
        <v>450</v>
      </c>
      <c r="K15" s="12" t="s">
        <v>207</v>
      </c>
      <c r="L15" s="12">
        <v>550</v>
      </c>
      <c r="M15" s="12">
        <v>450</v>
      </c>
      <c r="N15" s="12">
        <v>800</v>
      </c>
    </row>
    <row r="16" spans="1:14" x14ac:dyDescent="0.3">
      <c r="A16" s="12" t="s">
        <v>37</v>
      </c>
      <c r="B16" s="12">
        <v>2.1</v>
      </c>
      <c r="C16" s="12">
        <v>1500</v>
      </c>
      <c r="D16" s="12">
        <v>2100</v>
      </c>
      <c r="E16" s="12" t="s">
        <v>171</v>
      </c>
      <c r="F16" s="12" t="s">
        <v>171</v>
      </c>
      <c r="G16" s="12">
        <v>1500</v>
      </c>
      <c r="H16" s="12" t="s">
        <v>98</v>
      </c>
      <c r="I16" s="12" t="s">
        <v>98</v>
      </c>
      <c r="J16" s="12">
        <v>450</v>
      </c>
      <c r="K16" s="12" t="s">
        <v>207</v>
      </c>
      <c r="L16" s="12">
        <v>550</v>
      </c>
      <c r="M16" s="12">
        <v>450</v>
      </c>
      <c r="N16" s="12">
        <v>800</v>
      </c>
    </row>
    <row r="17" spans="1:14" x14ac:dyDescent="0.3">
      <c r="A17" s="12" t="s">
        <v>39</v>
      </c>
      <c r="B17" s="12">
        <v>2.2999999999999998</v>
      </c>
      <c r="C17" s="12">
        <v>1800</v>
      </c>
      <c r="D17" s="12">
        <v>2101</v>
      </c>
      <c r="E17" s="12" t="s">
        <v>171</v>
      </c>
      <c r="F17" s="12" t="s">
        <v>171</v>
      </c>
      <c r="G17" s="12">
        <v>1500</v>
      </c>
      <c r="H17" s="12" t="s">
        <v>98</v>
      </c>
      <c r="I17" s="12" t="s">
        <v>98</v>
      </c>
      <c r="J17" s="12">
        <v>450</v>
      </c>
      <c r="K17" s="12" t="s">
        <v>207</v>
      </c>
      <c r="L17" s="12">
        <v>550</v>
      </c>
      <c r="M17" s="12">
        <v>450</v>
      </c>
      <c r="N17" s="12">
        <v>800</v>
      </c>
    </row>
    <row r="18" spans="1:14" x14ac:dyDescent="0.3">
      <c r="A18" s="12" t="s">
        <v>74</v>
      </c>
      <c r="B18" s="12">
        <v>2.8</v>
      </c>
      <c r="C18" s="12">
        <v>2400</v>
      </c>
      <c r="D18" s="12">
        <v>2102</v>
      </c>
      <c r="E18" s="12" t="s">
        <v>171</v>
      </c>
      <c r="F18" s="12" t="s">
        <v>171</v>
      </c>
      <c r="G18" s="12">
        <v>1500</v>
      </c>
      <c r="H18" s="12" t="s">
        <v>98</v>
      </c>
      <c r="I18" s="12" t="s">
        <v>98</v>
      </c>
      <c r="J18" s="12">
        <v>450</v>
      </c>
      <c r="K18" s="12" t="s">
        <v>207</v>
      </c>
      <c r="L18" s="12">
        <v>550</v>
      </c>
      <c r="M18" s="12">
        <v>450</v>
      </c>
      <c r="N18" s="12">
        <v>800</v>
      </c>
    </row>
    <row r="19" spans="1:14" x14ac:dyDescent="0.3">
      <c r="A19" s="12" t="s">
        <v>40</v>
      </c>
      <c r="B19" s="12">
        <v>3.3</v>
      </c>
      <c r="C19" s="12">
        <v>3000</v>
      </c>
      <c r="D19" s="12">
        <v>2103</v>
      </c>
      <c r="E19" s="12" t="s">
        <v>171</v>
      </c>
      <c r="F19" s="12" t="s">
        <v>171</v>
      </c>
      <c r="G19" s="12">
        <v>1500</v>
      </c>
      <c r="H19" s="12" t="s">
        <v>98</v>
      </c>
      <c r="I19" s="12" t="s">
        <v>98</v>
      </c>
      <c r="J19" s="12">
        <v>450</v>
      </c>
      <c r="K19" s="12" t="s">
        <v>207</v>
      </c>
      <c r="L19" s="12">
        <v>550</v>
      </c>
      <c r="M19" s="12">
        <v>450</v>
      </c>
      <c r="N19" s="12">
        <v>800</v>
      </c>
    </row>
    <row r="20" spans="1:14" x14ac:dyDescent="0.3">
      <c r="A20" s="12" t="s">
        <v>25</v>
      </c>
      <c r="B20" s="12">
        <v>2.4</v>
      </c>
      <c r="C20" s="12">
        <v>1500</v>
      </c>
      <c r="D20" s="12">
        <v>2400</v>
      </c>
      <c r="E20" s="12">
        <v>1800</v>
      </c>
      <c r="F20" s="12" t="s">
        <v>171</v>
      </c>
      <c r="G20" s="12">
        <v>1500</v>
      </c>
      <c r="H20" s="12">
        <v>1500</v>
      </c>
      <c r="I20" s="12" t="s">
        <v>98</v>
      </c>
      <c r="J20" s="12">
        <v>300</v>
      </c>
      <c r="K20" s="12" t="s">
        <v>207</v>
      </c>
      <c r="L20" s="12">
        <v>550</v>
      </c>
      <c r="M20" s="12">
        <v>450</v>
      </c>
      <c r="N20" s="12">
        <v>800</v>
      </c>
    </row>
    <row r="21" spans="1:14" x14ac:dyDescent="0.3">
      <c r="A21" s="12" t="s">
        <v>52</v>
      </c>
      <c r="B21" s="12">
        <v>2.6</v>
      </c>
      <c r="C21" s="12">
        <v>1800</v>
      </c>
      <c r="D21" s="12">
        <v>2400</v>
      </c>
      <c r="E21" s="12">
        <v>1800</v>
      </c>
      <c r="F21" s="12" t="s">
        <v>171</v>
      </c>
      <c r="G21" s="12">
        <v>1500</v>
      </c>
      <c r="H21" s="12">
        <v>1500</v>
      </c>
      <c r="I21" s="12" t="s">
        <v>98</v>
      </c>
      <c r="J21" s="12">
        <v>300</v>
      </c>
      <c r="K21" s="12" t="s">
        <v>207</v>
      </c>
      <c r="L21" s="12">
        <v>550</v>
      </c>
      <c r="M21" s="12">
        <v>450</v>
      </c>
      <c r="N21" s="12">
        <v>800</v>
      </c>
    </row>
    <row r="22" spans="1:14" x14ac:dyDescent="0.3">
      <c r="A22" s="12" t="s">
        <v>172</v>
      </c>
      <c r="B22" s="12">
        <v>3.1</v>
      </c>
      <c r="C22" s="12">
        <v>2400</v>
      </c>
      <c r="D22" s="12">
        <v>2400</v>
      </c>
      <c r="E22" s="12">
        <v>1800</v>
      </c>
      <c r="F22" s="12" t="s">
        <v>171</v>
      </c>
      <c r="G22" s="12">
        <v>1500</v>
      </c>
      <c r="H22" s="12">
        <v>1500</v>
      </c>
      <c r="I22" s="12" t="s">
        <v>98</v>
      </c>
      <c r="J22" s="12">
        <v>300</v>
      </c>
      <c r="K22" s="12" t="s">
        <v>207</v>
      </c>
      <c r="L22" s="12">
        <v>550</v>
      </c>
      <c r="M22" s="12">
        <v>450</v>
      </c>
      <c r="N22" s="12">
        <v>800</v>
      </c>
    </row>
    <row r="23" spans="1:14" x14ac:dyDescent="0.3">
      <c r="A23" s="12" t="s">
        <v>71</v>
      </c>
      <c r="B23" s="12">
        <v>3.6</v>
      </c>
      <c r="C23" s="12">
        <v>3000</v>
      </c>
      <c r="D23" s="12">
        <v>2400</v>
      </c>
      <c r="E23" s="12">
        <v>1800</v>
      </c>
      <c r="F23" s="12" t="s">
        <v>171</v>
      </c>
      <c r="G23" s="12">
        <v>1500</v>
      </c>
      <c r="H23" s="12">
        <v>1500</v>
      </c>
      <c r="I23" s="12" t="s">
        <v>98</v>
      </c>
      <c r="J23" s="12">
        <v>300</v>
      </c>
      <c r="K23" s="12" t="s">
        <v>207</v>
      </c>
      <c r="L23" s="12">
        <v>550</v>
      </c>
      <c r="M23" s="12">
        <v>450</v>
      </c>
      <c r="N23" s="12">
        <v>800</v>
      </c>
    </row>
    <row r="24" spans="1:14" x14ac:dyDescent="0.3">
      <c r="A24" s="12" t="s">
        <v>41</v>
      </c>
      <c r="B24" s="12">
        <v>2.8</v>
      </c>
      <c r="C24" s="12">
        <v>1500</v>
      </c>
      <c r="D24" s="12">
        <v>2400</v>
      </c>
      <c r="E24" s="12">
        <v>1800</v>
      </c>
      <c r="F24" s="12" t="s">
        <v>171</v>
      </c>
      <c r="G24" s="12">
        <v>1500</v>
      </c>
      <c r="H24" s="12">
        <v>1500</v>
      </c>
      <c r="I24" s="12" t="s">
        <v>98</v>
      </c>
      <c r="J24" s="12">
        <v>300</v>
      </c>
      <c r="K24" s="12" t="s">
        <v>207</v>
      </c>
      <c r="L24" s="12">
        <v>550</v>
      </c>
      <c r="M24" s="12">
        <v>450</v>
      </c>
      <c r="N24" s="12">
        <v>800</v>
      </c>
    </row>
    <row r="25" spans="1:14" x14ac:dyDescent="0.3">
      <c r="A25" s="12" t="s">
        <v>93</v>
      </c>
      <c r="B25" s="12">
        <v>3</v>
      </c>
      <c r="C25" s="12">
        <v>1800</v>
      </c>
      <c r="D25" s="12">
        <v>2400</v>
      </c>
      <c r="E25" s="12">
        <v>1800</v>
      </c>
      <c r="F25" s="12" t="s">
        <v>171</v>
      </c>
      <c r="G25" s="12">
        <v>1800</v>
      </c>
      <c r="H25" s="12">
        <v>1800</v>
      </c>
      <c r="I25" s="12" t="s">
        <v>98</v>
      </c>
      <c r="J25" s="12">
        <v>300</v>
      </c>
      <c r="K25" s="12" t="s">
        <v>207</v>
      </c>
      <c r="L25" s="12">
        <v>550</v>
      </c>
      <c r="M25" s="12">
        <v>450</v>
      </c>
      <c r="N25" s="12">
        <v>800</v>
      </c>
    </row>
    <row r="26" spans="1:14" x14ac:dyDescent="0.3">
      <c r="A26" s="12" t="s">
        <v>75</v>
      </c>
      <c r="B26" s="12">
        <v>3.5</v>
      </c>
      <c r="C26" s="12">
        <v>2400</v>
      </c>
      <c r="D26" s="12">
        <v>2400</v>
      </c>
      <c r="E26" s="12">
        <v>1800</v>
      </c>
      <c r="F26" s="12" t="s">
        <v>171</v>
      </c>
      <c r="G26" s="12">
        <v>1800</v>
      </c>
      <c r="H26" s="12">
        <v>1800</v>
      </c>
      <c r="I26" s="12" t="s">
        <v>98</v>
      </c>
      <c r="J26" s="12">
        <v>300</v>
      </c>
      <c r="K26" s="12" t="s">
        <v>207</v>
      </c>
      <c r="L26" s="12">
        <v>550</v>
      </c>
      <c r="M26" s="12">
        <v>450</v>
      </c>
      <c r="N26" s="12">
        <v>800</v>
      </c>
    </row>
    <row r="27" spans="1:14" x14ac:dyDescent="0.3">
      <c r="A27" s="12" t="s">
        <v>173</v>
      </c>
      <c r="B27" s="12">
        <v>4</v>
      </c>
      <c r="C27" s="12">
        <v>3000</v>
      </c>
      <c r="D27" s="12">
        <v>2400</v>
      </c>
      <c r="E27" s="12">
        <v>1800</v>
      </c>
      <c r="F27" s="12" t="s">
        <v>171</v>
      </c>
      <c r="G27" s="12">
        <v>1800</v>
      </c>
      <c r="H27" s="12">
        <v>1800</v>
      </c>
      <c r="I27" s="12" t="s">
        <v>98</v>
      </c>
      <c r="J27" s="12">
        <v>300</v>
      </c>
      <c r="K27" s="12" t="s">
        <v>207</v>
      </c>
      <c r="L27" s="12">
        <v>550</v>
      </c>
      <c r="M27" s="12">
        <v>450</v>
      </c>
      <c r="N27" s="12">
        <v>800</v>
      </c>
    </row>
    <row r="28" spans="1:14" x14ac:dyDescent="0.3">
      <c r="A28" s="12" t="s">
        <v>65</v>
      </c>
      <c r="B28" s="12">
        <v>3.7</v>
      </c>
      <c r="C28" s="12">
        <v>2400</v>
      </c>
      <c r="D28" s="12">
        <v>2400</v>
      </c>
      <c r="E28" s="12">
        <v>1800</v>
      </c>
      <c r="F28" s="12" t="s">
        <v>171</v>
      </c>
      <c r="G28" s="12">
        <v>1800</v>
      </c>
      <c r="H28" s="12">
        <v>1800</v>
      </c>
      <c r="I28" s="12" t="s">
        <v>98</v>
      </c>
      <c r="J28" s="12">
        <v>300</v>
      </c>
      <c r="K28" s="12" t="s">
        <v>207</v>
      </c>
      <c r="L28" s="12">
        <v>550</v>
      </c>
      <c r="M28" s="12">
        <v>450</v>
      </c>
      <c r="N28" s="12">
        <v>800</v>
      </c>
    </row>
    <row r="29" spans="1:14" x14ac:dyDescent="0.3">
      <c r="A29" s="12" t="s">
        <v>97</v>
      </c>
      <c r="B29" s="12">
        <v>4.2</v>
      </c>
      <c r="C29" s="12">
        <v>3000</v>
      </c>
      <c r="D29" s="12">
        <v>2700</v>
      </c>
      <c r="E29" s="12">
        <v>1800</v>
      </c>
      <c r="F29" s="12" t="s">
        <v>171</v>
      </c>
      <c r="G29" s="12">
        <v>1800</v>
      </c>
      <c r="H29" s="12">
        <v>1800</v>
      </c>
      <c r="I29" s="12" t="s">
        <v>98</v>
      </c>
      <c r="J29" s="12">
        <v>300</v>
      </c>
      <c r="K29" s="12" t="s">
        <v>207</v>
      </c>
      <c r="L29" s="12">
        <v>550</v>
      </c>
      <c r="M29" s="12">
        <v>450</v>
      </c>
      <c r="N29" s="12">
        <v>800</v>
      </c>
    </row>
    <row r="30" spans="1:14" x14ac:dyDescent="0.3">
      <c r="A30" s="12" t="s">
        <v>26</v>
      </c>
      <c r="B30" s="12">
        <v>3.3</v>
      </c>
      <c r="C30" s="12">
        <v>1500</v>
      </c>
      <c r="D30" s="12">
        <v>2700</v>
      </c>
      <c r="E30" s="12">
        <v>1800</v>
      </c>
      <c r="F30" s="12" t="s">
        <v>171</v>
      </c>
      <c r="G30" s="12">
        <v>1800</v>
      </c>
      <c r="H30" s="12">
        <v>1800</v>
      </c>
      <c r="I30" s="12" t="s">
        <v>98</v>
      </c>
      <c r="J30" s="12">
        <v>300</v>
      </c>
      <c r="K30" s="12" t="s">
        <v>207</v>
      </c>
      <c r="L30" s="12">
        <v>550</v>
      </c>
      <c r="M30" s="12">
        <v>450</v>
      </c>
      <c r="N30" s="12">
        <v>800</v>
      </c>
    </row>
    <row r="31" spans="1:14" x14ac:dyDescent="0.3">
      <c r="A31" s="12" t="s">
        <v>95</v>
      </c>
      <c r="B31" s="12">
        <v>3.5</v>
      </c>
      <c r="C31" s="12">
        <v>1800</v>
      </c>
      <c r="D31" s="12">
        <v>3000</v>
      </c>
      <c r="E31" s="12">
        <v>2100</v>
      </c>
      <c r="F31" s="12" t="s">
        <v>171</v>
      </c>
      <c r="G31" s="12">
        <v>1800</v>
      </c>
      <c r="H31" s="12">
        <v>1800</v>
      </c>
      <c r="I31" s="12" t="s">
        <v>98</v>
      </c>
      <c r="J31" s="12">
        <v>300</v>
      </c>
      <c r="K31" s="12" t="s">
        <v>207</v>
      </c>
      <c r="L31" s="12">
        <v>550</v>
      </c>
      <c r="M31" s="12">
        <v>450</v>
      </c>
      <c r="N31" s="12">
        <v>800</v>
      </c>
    </row>
    <row r="32" spans="1:14" x14ac:dyDescent="0.3">
      <c r="A32" s="12" t="s">
        <v>80</v>
      </c>
      <c r="B32" s="12">
        <v>4</v>
      </c>
      <c r="C32" s="12">
        <v>2400</v>
      </c>
      <c r="D32" s="12">
        <v>3000</v>
      </c>
      <c r="E32" s="12">
        <v>2100</v>
      </c>
      <c r="F32" s="12" t="s">
        <v>171</v>
      </c>
      <c r="G32" s="12">
        <v>2100</v>
      </c>
      <c r="H32" s="12">
        <v>1500</v>
      </c>
      <c r="I32" s="12" t="s">
        <v>98</v>
      </c>
      <c r="J32" s="12">
        <v>300</v>
      </c>
      <c r="K32" s="12" t="s">
        <v>207</v>
      </c>
      <c r="L32" s="12">
        <v>550</v>
      </c>
      <c r="M32" s="12">
        <v>450</v>
      </c>
      <c r="N32" s="12">
        <v>800</v>
      </c>
    </row>
    <row r="33" spans="1:14" x14ac:dyDescent="0.3">
      <c r="A33" s="12" t="s">
        <v>174</v>
      </c>
      <c r="B33" s="12">
        <v>4.5</v>
      </c>
      <c r="C33" s="12">
        <v>3000</v>
      </c>
      <c r="D33" s="12">
        <v>3000</v>
      </c>
      <c r="E33" s="12">
        <v>2100</v>
      </c>
      <c r="F33" s="12" t="s">
        <v>171</v>
      </c>
      <c r="G33" s="12">
        <v>2100</v>
      </c>
      <c r="H33" s="12">
        <v>1500</v>
      </c>
      <c r="I33" s="12" t="s">
        <v>98</v>
      </c>
      <c r="J33" s="12">
        <v>300</v>
      </c>
      <c r="K33" s="12" t="s">
        <v>207</v>
      </c>
      <c r="L33" s="12">
        <v>550</v>
      </c>
      <c r="M33" s="12">
        <v>450</v>
      </c>
      <c r="N33" s="12">
        <v>800</v>
      </c>
    </row>
    <row r="34" spans="1:14" x14ac:dyDescent="0.3">
      <c r="A34" s="12" t="s">
        <v>42</v>
      </c>
      <c r="B34" s="12">
        <v>3.4</v>
      </c>
      <c r="C34" s="12">
        <v>1500</v>
      </c>
      <c r="D34" s="12">
        <v>3000</v>
      </c>
      <c r="E34" s="12">
        <v>2100</v>
      </c>
      <c r="F34" s="12" t="s">
        <v>171</v>
      </c>
      <c r="G34" s="12">
        <v>2400</v>
      </c>
      <c r="H34" s="12">
        <v>1500</v>
      </c>
      <c r="I34" s="12" t="s">
        <v>98</v>
      </c>
      <c r="J34" s="12">
        <v>300</v>
      </c>
      <c r="K34" s="12" t="s">
        <v>207</v>
      </c>
      <c r="L34" s="12">
        <v>550</v>
      </c>
      <c r="M34" s="12">
        <v>450</v>
      </c>
      <c r="N34" s="12">
        <v>800</v>
      </c>
    </row>
    <row r="35" spans="1:14" x14ac:dyDescent="0.3">
      <c r="A35" s="12" t="s">
        <v>175</v>
      </c>
      <c r="B35" s="12">
        <v>4.0999999999999996</v>
      </c>
      <c r="C35" s="12">
        <v>2400</v>
      </c>
      <c r="D35" s="12">
        <v>3000</v>
      </c>
      <c r="E35" s="12">
        <v>2100</v>
      </c>
      <c r="F35" s="12" t="s">
        <v>171</v>
      </c>
      <c r="G35" s="12">
        <v>2400</v>
      </c>
      <c r="H35" s="12">
        <v>1500</v>
      </c>
      <c r="I35" s="12" t="s">
        <v>98</v>
      </c>
      <c r="J35" s="12">
        <v>300</v>
      </c>
      <c r="K35" s="12" t="s">
        <v>207</v>
      </c>
      <c r="L35" s="12">
        <v>550</v>
      </c>
      <c r="M35" s="12">
        <v>450</v>
      </c>
      <c r="N35" s="12">
        <v>800</v>
      </c>
    </row>
    <row r="36" spans="1:14" x14ac:dyDescent="0.3">
      <c r="A36" s="12" t="s">
        <v>176</v>
      </c>
      <c r="B36" s="12">
        <v>4.5999999999999996</v>
      </c>
      <c r="C36" s="12">
        <v>3000</v>
      </c>
      <c r="D36" s="12">
        <v>3000</v>
      </c>
      <c r="E36" s="12">
        <v>2100</v>
      </c>
      <c r="F36" s="12" t="s">
        <v>171</v>
      </c>
      <c r="G36" s="12">
        <v>2400</v>
      </c>
      <c r="H36" s="12">
        <v>1500</v>
      </c>
      <c r="I36" s="12" t="s">
        <v>98</v>
      </c>
      <c r="J36" s="12">
        <v>300</v>
      </c>
      <c r="K36" s="12" t="s">
        <v>207</v>
      </c>
      <c r="L36" s="12">
        <v>550</v>
      </c>
      <c r="M36" s="12">
        <v>450</v>
      </c>
      <c r="N36" s="12">
        <v>800</v>
      </c>
    </row>
    <row r="37" spans="1:14" x14ac:dyDescent="0.3">
      <c r="A37" s="12" t="s">
        <v>66</v>
      </c>
      <c r="B37" s="12">
        <v>3.9</v>
      </c>
      <c r="C37" s="12">
        <v>1800</v>
      </c>
      <c r="D37" s="12">
        <v>3000</v>
      </c>
      <c r="E37" s="12">
        <v>2100</v>
      </c>
      <c r="F37" s="12" t="s">
        <v>171</v>
      </c>
      <c r="G37" s="12">
        <v>2400</v>
      </c>
      <c r="H37" s="12">
        <v>1500</v>
      </c>
      <c r="I37" s="12" t="s">
        <v>98</v>
      </c>
      <c r="J37" s="12">
        <v>300</v>
      </c>
      <c r="K37" s="12" t="s">
        <v>207</v>
      </c>
      <c r="L37" s="12">
        <v>550</v>
      </c>
      <c r="M37" s="12">
        <v>450</v>
      </c>
      <c r="N37" s="12">
        <v>800</v>
      </c>
    </row>
    <row r="38" spans="1:14" x14ac:dyDescent="0.3">
      <c r="A38" s="12" t="s">
        <v>177</v>
      </c>
      <c r="B38" s="12">
        <v>4.3</v>
      </c>
      <c r="C38" s="12">
        <v>2400</v>
      </c>
      <c r="D38" s="12">
        <v>3000</v>
      </c>
      <c r="E38" s="12">
        <v>2100</v>
      </c>
      <c r="F38" s="12" t="s">
        <v>171</v>
      </c>
      <c r="G38" s="12">
        <v>2400</v>
      </c>
      <c r="H38" s="12">
        <v>1500</v>
      </c>
      <c r="I38" s="12" t="s">
        <v>98</v>
      </c>
      <c r="J38" s="12">
        <v>300</v>
      </c>
      <c r="K38" s="12" t="s">
        <v>207</v>
      </c>
      <c r="L38" s="12">
        <v>550</v>
      </c>
      <c r="M38" s="12">
        <v>450</v>
      </c>
      <c r="N38" s="12">
        <v>800</v>
      </c>
    </row>
    <row r="39" spans="1:14" x14ac:dyDescent="0.3">
      <c r="A39" s="12" t="s">
        <v>81</v>
      </c>
      <c r="B39" s="12">
        <v>5.5</v>
      </c>
      <c r="C39" s="12">
        <v>1800</v>
      </c>
      <c r="D39" s="12">
        <v>3300</v>
      </c>
      <c r="E39" s="12">
        <v>2100</v>
      </c>
      <c r="F39" s="12" t="s">
        <v>171</v>
      </c>
      <c r="G39" s="12">
        <v>2400</v>
      </c>
      <c r="H39" s="12">
        <v>1500</v>
      </c>
      <c r="I39" s="12" t="s">
        <v>98</v>
      </c>
      <c r="J39" s="12">
        <v>300</v>
      </c>
      <c r="K39" s="12" t="s">
        <v>207</v>
      </c>
      <c r="L39" s="12">
        <v>550</v>
      </c>
      <c r="M39" s="12">
        <v>450</v>
      </c>
      <c r="N39" s="12">
        <v>800</v>
      </c>
    </row>
    <row r="40" spans="1:14" x14ac:dyDescent="0.3">
      <c r="A40" s="12" t="s">
        <v>178</v>
      </c>
      <c r="B40" s="12">
        <v>5.5</v>
      </c>
      <c r="C40" s="12">
        <v>2400</v>
      </c>
      <c r="D40" s="12">
        <v>3300</v>
      </c>
      <c r="E40" s="12">
        <v>2400</v>
      </c>
      <c r="F40" s="12">
        <v>1500</v>
      </c>
      <c r="G40" s="12">
        <v>2400</v>
      </c>
      <c r="H40" s="12">
        <v>1800</v>
      </c>
      <c r="I40" s="151">
        <v>1800</v>
      </c>
      <c r="J40" s="12">
        <v>300</v>
      </c>
      <c r="K40" s="12" t="s">
        <v>207</v>
      </c>
      <c r="L40" s="12">
        <v>550</v>
      </c>
      <c r="M40" s="12">
        <v>450</v>
      </c>
      <c r="N40" s="12">
        <v>800</v>
      </c>
    </row>
    <row r="41" spans="1:14" x14ac:dyDescent="0.3">
      <c r="A41" s="12" t="s">
        <v>179</v>
      </c>
      <c r="B41" s="12">
        <v>6</v>
      </c>
      <c r="C41" s="12">
        <v>2400</v>
      </c>
      <c r="D41" s="12">
        <v>3600</v>
      </c>
      <c r="E41" s="12">
        <v>2700</v>
      </c>
      <c r="F41" s="12">
        <v>1800</v>
      </c>
      <c r="G41" s="12">
        <v>2400</v>
      </c>
      <c r="H41" s="12">
        <v>1800</v>
      </c>
      <c r="I41" s="151">
        <v>1800</v>
      </c>
      <c r="J41" s="12">
        <v>300</v>
      </c>
      <c r="K41" s="12" t="s">
        <v>207</v>
      </c>
      <c r="L41" s="12">
        <v>550</v>
      </c>
      <c r="M41" s="12">
        <v>450</v>
      </c>
      <c r="N41" s="12">
        <v>800</v>
      </c>
    </row>
    <row r="42" spans="1:14" x14ac:dyDescent="0.3">
      <c r="A42" s="12" t="s">
        <v>27</v>
      </c>
      <c r="B42" s="12">
        <v>5.9</v>
      </c>
      <c r="C42" s="12">
        <v>1800</v>
      </c>
      <c r="D42" s="12">
        <v>3600</v>
      </c>
      <c r="E42" s="12">
        <v>2700</v>
      </c>
      <c r="F42" s="12">
        <v>1800</v>
      </c>
      <c r="G42" s="12">
        <v>2700</v>
      </c>
      <c r="H42" s="12">
        <v>2100</v>
      </c>
      <c r="I42" s="151">
        <v>1500</v>
      </c>
      <c r="J42" s="12">
        <v>300</v>
      </c>
      <c r="K42" s="12" t="s">
        <v>207</v>
      </c>
      <c r="L42" s="12">
        <v>550</v>
      </c>
      <c r="M42" s="12">
        <v>450</v>
      </c>
      <c r="N42" s="12">
        <v>800</v>
      </c>
    </row>
    <row r="43" spans="1:14" x14ac:dyDescent="0.3">
      <c r="A43" s="12" t="s">
        <v>72</v>
      </c>
      <c r="B43" s="12">
        <v>6.9</v>
      </c>
      <c r="C43" s="12">
        <v>3000</v>
      </c>
      <c r="D43" s="12">
        <v>3600</v>
      </c>
      <c r="E43" s="12">
        <v>2700</v>
      </c>
      <c r="F43" s="12">
        <v>1800</v>
      </c>
      <c r="G43" s="12">
        <v>2700</v>
      </c>
      <c r="H43" s="12">
        <v>2100</v>
      </c>
      <c r="I43" s="151">
        <v>1500</v>
      </c>
      <c r="J43" s="12">
        <v>300</v>
      </c>
      <c r="K43" s="12" t="s">
        <v>207</v>
      </c>
      <c r="L43" s="12">
        <v>550</v>
      </c>
      <c r="M43" s="12">
        <v>450</v>
      </c>
      <c r="N43" s="12">
        <v>800</v>
      </c>
    </row>
    <row r="44" spans="1:14" x14ac:dyDescent="0.3">
      <c r="A44" s="12" t="s">
        <v>43</v>
      </c>
      <c r="B44" s="12">
        <v>6.7</v>
      </c>
      <c r="C44" s="12">
        <v>1800</v>
      </c>
      <c r="D44" s="12">
        <v>4200</v>
      </c>
      <c r="E44" s="12">
        <v>3000</v>
      </c>
      <c r="F44" s="12">
        <v>2100</v>
      </c>
      <c r="G44" s="12">
        <v>2700</v>
      </c>
      <c r="H44" s="12">
        <v>2100</v>
      </c>
      <c r="I44" s="151">
        <v>1500</v>
      </c>
      <c r="J44" s="12">
        <v>300</v>
      </c>
      <c r="K44" s="12" t="s">
        <v>207</v>
      </c>
      <c r="L44" s="12">
        <v>550</v>
      </c>
      <c r="M44" s="12">
        <v>450</v>
      </c>
      <c r="N44" s="12">
        <v>800</v>
      </c>
    </row>
    <row r="45" spans="1:14" x14ac:dyDescent="0.3">
      <c r="A45" s="12" t="s">
        <v>29</v>
      </c>
      <c r="B45" s="12">
        <v>7.1</v>
      </c>
      <c r="C45" s="12">
        <v>1800</v>
      </c>
      <c r="D45" s="12">
        <v>4200</v>
      </c>
      <c r="E45" s="12">
        <v>3000</v>
      </c>
      <c r="F45" s="12">
        <v>2100</v>
      </c>
      <c r="G45" s="12">
        <v>3000</v>
      </c>
      <c r="H45" s="12">
        <v>2100</v>
      </c>
      <c r="I45" s="151">
        <v>1500</v>
      </c>
      <c r="J45" s="12">
        <v>300</v>
      </c>
      <c r="K45" s="12" t="s">
        <v>207</v>
      </c>
      <c r="L45" s="12">
        <v>550</v>
      </c>
      <c r="M45" s="12">
        <v>450</v>
      </c>
      <c r="N45" s="12">
        <v>800</v>
      </c>
    </row>
    <row r="46" spans="1:14" x14ac:dyDescent="0.3">
      <c r="A46" s="12" t="s">
        <v>180</v>
      </c>
      <c r="B46" s="12">
        <v>7.6</v>
      </c>
      <c r="C46" s="12">
        <v>2400</v>
      </c>
      <c r="D46" s="12">
        <v>4200</v>
      </c>
      <c r="E46" s="12">
        <v>3000</v>
      </c>
      <c r="F46" s="12">
        <v>2100</v>
      </c>
      <c r="G46" s="12">
        <v>3000</v>
      </c>
      <c r="H46" s="12">
        <v>2100</v>
      </c>
      <c r="I46" s="151">
        <v>1500</v>
      </c>
      <c r="J46" s="12">
        <v>300</v>
      </c>
      <c r="K46" s="12" t="s">
        <v>207</v>
      </c>
      <c r="L46" s="12">
        <v>550</v>
      </c>
      <c r="M46" s="12">
        <v>450</v>
      </c>
      <c r="N46" s="12">
        <v>800</v>
      </c>
    </row>
    <row r="47" spans="1:14" x14ac:dyDescent="0.3">
      <c r="A47" s="12" t="s">
        <v>45</v>
      </c>
      <c r="B47" s="12">
        <v>8.6</v>
      </c>
      <c r="C47" s="12">
        <v>1800</v>
      </c>
      <c r="D47" s="12">
        <v>4800</v>
      </c>
      <c r="E47" s="12">
        <v>3600</v>
      </c>
      <c r="F47" s="12">
        <v>2400</v>
      </c>
      <c r="G47" s="12">
        <v>3000</v>
      </c>
      <c r="H47" s="12">
        <v>2100</v>
      </c>
      <c r="I47" s="151">
        <v>1500</v>
      </c>
      <c r="J47" s="12" t="s">
        <v>249</v>
      </c>
      <c r="K47" s="12" t="s">
        <v>207</v>
      </c>
      <c r="L47" s="12">
        <v>550</v>
      </c>
      <c r="M47" s="12">
        <v>450</v>
      </c>
      <c r="N47" s="12">
        <v>800</v>
      </c>
    </row>
    <row r="48" spans="1:14" x14ac:dyDescent="0.3">
      <c r="A48" s="12" t="s">
        <v>86</v>
      </c>
      <c r="B48" s="12">
        <v>9.6</v>
      </c>
      <c r="C48" s="12">
        <v>3000</v>
      </c>
      <c r="D48" s="12">
        <v>4800</v>
      </c>
      <c r="E48" s="12">
        <v>3600</v>
      </c>
      <c r="F48" s="12">
        <v>2400</v>
      </c>
      <c r="G48" s="12">
        <v>3000</v>
      </c>
      <c r="H48" s="12">
        <v>2100</v>
      </c>
      <c r="I48" s="151">
        <v>1500</v>
      </c>
      <c r="J48" s="12" t="s">
        <v>249</v>
      </c>
      <c r="K48" s="12" t="s">
        <v>207</v>
      </c>
      <c r="L48" s="12">
        <v>550</v>
      </c>
      <c r="M48" s="12">
        <v>450</v>
      </c>
      <c r="N48" s="12">
        <v>800</v>
      </c>
    </row>
    <row r="49" spans="1:14" x14ac:dyDescent="0.3">
      <c r="A49" s="12" t="s">
        <v>181</v>
      </c>
      <c r="B49" s="12">
        <v>2.6</v>
      </c>
      <c r="C49" s="12">
        <v>1500</v>
      </c>
      <c r="D49" s="12">
        <v>2100</v>
      </c>
      <c r="E49" s="12" t="s">
        <v>171</v>
      </c>
      <c r="F49" s="12" t="s">
        <v>171</v>
      </c>
      <c r="G49" s="12">
        <v>1500</v>
      </c>
      <c r="H49" s="12" t="s">
        <v>98</v>
      </c>
      <c r="I49" s="12" t="s">
        <v>98</v>
      </c>
      <c r="J49" s="12">
        <v>450</v>
      </c>
      <c r="K49" s="12" t="s">
        <v>208</v>
      </c>
      <c r="L49" s="12">
        <v>700</v>
      </c>
      <c r="M49" s="12">
        <v>600</v>
      </c>
      <c r="N49" s="12">
        <v>900</v>
      </c>
    </row>
    <row r="50" spans="1:14" x14ac:dyDescent="0.3">
      <c r="A50" s="12" t="s">
        <v>53</v>
      </c>
      <c r="B50" s="12">
        <v>3</v>
      </c>
      <c r="C50" s="12">
        <v>1800</v>
      </c>
      <c r="D50" s="12">
        <v>2100</v>
      </c>
      <c r="E50" s="12" t="s">
        <v>171</v>
      </c>
      <c r="F50" s="12" t="s">
        <v>171</v>
      </c>
      <c r="G50" s="12">
        <v>1500</v>
      </c>
      <c r="H50" s="12" t="s">
        <v>98</v>
      </c>
      <c r="I50" s="12" t="s">
        <v>98</v>
      </c>
      <c r="J50" s="12">
        <v>450</v>
      </c>
      <c r="K50" s="12" t="s">
        <v>208</v>
      </c>
      <c r="L50" s="12">
        <v>700</v>
      </c>
      <c r="M50" s="12">
        <v>600</v>
      </c>
      <c r="N50" s="12">
        <v>900</v>
      </c>
    </row>
    <row r="51" spans="1:14" x14ac:dyDescent="0.3">
      <c r="A51" s="12" t="s">
        <v>54</v>
      </c>
      <c r="B51" s="12">
        <v>3.9</v>
      </c>
      <c r="C51" s="12">
        <v>2400</v>
      </c>
      <c r="D51" s="12">
        <v>2100</v>
      </c>
      <c r="E51" s="12" t="s">
        <v>171</v>
      </c>
      <c r="F51" s="12" t="s">
        <v>171</v>
      </c>
      <c r="G51" s="12">
        <v>1500</v>
      </c>
      <c r="H51" s="12" t="s">
        <v>98</v>
      </c>
      <c r="I51" s="12" t="s">
        <v>98</v>
      </c>
      <c r="J51" s="12">
        <v>450</v>
      </c>
      <c r="K51" s="12" t="s">
        <v>208</v>
      </c>
      <c r="L51" s="12">
        <v>700</v>
      </c>
      <c r="M51" s="12">
        <v>600</v>
      </c>
      <c r="N51" s="12">
        <v>900</v>
      </c>
    </row>
    <row r="52" spans="1:14" x14ac:dyDescent="0.3">
      <c r="A52" s="12" t="s">
        <v>182</v>
      </c>
      <c r="B52" s="12">
        <v>4.7</v>
      </c>
      <c r="C52" s="12">
        <v>3000</v>
      </c>
      <c r="D52" s="12">
        <v>2100</v>
      </c>
      <c r="E52" s="12" t="s">
        <v>171</v>
      </c>
      <c r="F52" s="12" t="s">
        <v>171</v>
      </c>
      <c r="G52" s="12">
        <v>1500</v>
      </c>
      <c r="H52" s="12" t="s">
        <v>98</v>
      </c>
      <c r="I52" s="12" t="s">
        <v>98</v>
      </c>
      <c r="J52" s="12">
        <v>450</v>
      </c>
      <c r="K52" s="12" t="s">
        <v>208</v>
      </c>
      <c r="L52" s="12">
        <v>700</v>
      </c>
      <c r="M52" s="12">
        <v>600</v>
      </c>
      <c r="N52" s="12">
        <v>900</v>
      </c>
    </row>
    <row r="53" spans="1:14" x14ac:dyDescent="0.3">
      <c r="A53" s="12" t="s">
        <v>183</v>
      </c>
      <c r="B53" s="12">
        <v>2.8</v>
      </c>
      <c r="C53" s="12">
        <v>1500</v>
      </c>
      <c r="D53" s="12">
        <v>2400</v>
      </c>
      <c r="E53" s="12" t="s">
        <v>171</v>
      </c>
      <c r="F53" s="12" t="s">
        <v>171</v>
      </c>
      <c r="G53" s="12">
        <v>1500</v>
      </c>
      <c r="H53" s="12" t="s">
        <v>98</v>
      </c>
      <c r="I53" s="12" t="s">
        <v>98</v>
      </c>
      <c r="J53" s="12">
        <v>450</v>
      </c>
      <c r="K53" s="12" t="s">
        <v>208</v>
      </c>
      <c r="L53" s="12">
        <v>700</v>
      </c>
      <c r="M53" s="12">
        <v>600</v>
      </c>
      <c r="N53" s="12">
        <v>900</v>
      </c>
    </row>
    <row r="54" spans="1:14" x14ac:dyDescent="0.3">
      <c r="A54" s="12" t="s">
        <v>51</v>
      </c>
      <c r="B54" s="12">
        <v>3.2</v>
      </c>
      <c r="C54" s="12">
        <v>1800</v>
      </c>
      <c r="D54" s="12">
        <v>2400</v>
      </c>
      <c r="E54" s="12" t="s">
        <v>171</v>
      </c>
      <c r="F54" s="12" t="s">
        <v>171</v>
      </c>
      <c r="G54" s="12">
        <v>1500</v>
      </c>
      <c r="H54" s="12" t="s">
        <v>98</v>
      </c>
      <c r="I54" s="12" t="s">
        <v>98</v>
      </c>
      <c r="J54" s="12">
        <v>450</v>
      </c>
      <c r="K54" s="12" t="s">
        <v>208</v>
      </c>
      <c r="L54" s="12">
        <v>700</v>
      </c>
      <c r="M54" s="12">
        <v>600</v>
      </c>
      <c r="N54" s="12">
        <v>900</v>
      </c>
    </row>
    <row r="55" spans="1:14" x14ac:dyDescent="0.3">
      <c r="A55" s="12" t="s">
        <v>68</v>
      </c>
      <c r="B55" s="12">
        <v>4.0999999999999996</v>
      </c>
      <c r="C55" s="12">
        <v>2400</v>
      </c>
      <c r="D55" s="12">
        <v>2400</v>
      </c>
      <c r="E55" s="12" t="s">
        <v>171</v>
      </c>
      <c r="F55" s="12" t="s">
        <v>171</v>
      </c>
      <c r="G55" s="12">
        <v>1500</v>
      </c>
      <c r="H55" s="12" t="s">
        <v>98</v>
      </c>
      <c r="I55" s="12" t="s">
        <v>98</v>
      </c>
      <c r="J55" s="12">
        <v>450</v>
      </c>
      <c r="K55" s="12" t="s">
        <v>208</v>
      </c>
      <c r="L55" s="12">
        <v>700</v>
      </c>
      <c r="M55" s="12">
        <v>600</v>
      </c>
      <c r="N55" s="12">
        <v>900</v>
      </c>
    </row>
    <row r="56" spans="1:14" x14ac:dyDescent="0.3">
      <c r="A56" s="12" t="s">
        <v>88</v>
      </c>
      <c r="B56" s="12">
        <v>3.1</v>
      </c>
      <c r="C56" s="12">
        <v>1500</v>
      </c>
      <c r="D56" s="12">
        <v>2400</v>
      </c>
      <c r="E56" s="12" t="s">
        <v>171</v>
      </c>
      <c r="F56" s="12" t="s">
        <v>171</v>
      </c>
      <c r="G56" s="12">
        <v>1800</v>
      </c>
      <c r="H56" s="12" t="s">
        <v>98</v>
      </c>
      <c r="I56" s="12" t="s">
        <v>98</v>
      </c>
      <c r="J56" s="12">
        <v>450</v>
      </c>
      <c r="K56" s="12" t="s">
        <v>208</v>
      </c>
      <c r="L56" s="12">
        <v>700</v>
      </c>
      <c r="M56" s="12">
        <v>600</v>
      </c>
      <c r="N56" s="12">
        <v>900</v>
      </c>
    </row>
    <row r="57" spans="1:14" x14ac:dyDescent="0.3">
      <c r="A57" s="12" t="s">
        <v>184</v>
      </c>
      <c r="B57" s="12">
        <v>3.5</v>
      </c>
      <c r="C57" s="12">
        <v>1800</v>
      </c>
      <c r="D57" s="12">
        <v>2400</v>
      </c>
      <c r="E57" s="12" t="s">
        <v>171</v>
      </c>
      <c r="F57" s="12" t="s">
        <v>171</v>
      </c>
      <c r="G57" s="12">
        <v>1800</v>
      </c>
      <c r="H57" s="12" t="s">
        <v>98</v>
      </c>
      <c r="I57" s="12" t="s">
        <v>98</v>
      </c>
      <c r="J57" s="12">
        <v>450</v>
      </c>
      <c r="K57" s="12" t="s">
        <v>208</v>
      </c>
      <c r="L57" s="12">
        <v>700</v>
      </c>
      <c r="M57" s="12">
        <v>600</v>
      </c>
      <c r="N57" s="12">
        <v>900</v>
      </c>
    </row>
    <row r="58" spans="1:14" x14ac:dyDescent="0.3">
      <c r="A58" s="12" t="s">
        <v>185</v>
      </c>
      <c r="B58" s="12">
        <v>4.4000000000000004</v>
      </c>
      <c r="C58" s="12">
        <v>2400</v>
      </c>
      <c r="D58" s="12">
        <v>2400</v>
      </c>
      <c r="E58" s="12" t="s">
        <v>171</v>
      </c>
      <c r="F58" s="12" t="s">
        <v>171</v>
      </c>
      <c r="G58" s="12">
        <v>1800</v>
      </c>
      <c r="H58" s="12" t="s">
        <v>98</v>
      </c>
      <c r="I58" s="12" t="s">
        <v>98</v>
      </c>
      <c r="J58" s="12">
        <v>450</v>
      </c>
      <c r="K58" s="12" t="s">
        <v>208</v>
      </c>
      <c r="L58" s="12">
        <v>700</v>
      </c>
      <c r="M58" s="12">
        <v>600</v>
      </c>
      <c r="N58" s="12">
        <v>900</v>
      </c>
    </row>
    <row r="59" spans="1:14" x14ac:dyDescent="0.3">
      <c r="A59" s="12" t="s">
        <v>186</v>
      </c>
      <c r="B59" s="12">
        <v>5.3</v>
      </c>
      <c r="C59" s="12">
        <v>3000</v>
      </c>
      <c r="D59" s="12">
        <v>2400</v>
      </c>
      <c r="E59" s="12" t="s">
        <v>171</v>
      </c>
      <c r="F59" s="12" t="s">
        <v>171</v>
      </c>
      <c r="G59" s="12">
        <v>1800</v>
      </c>
      <c r="H59" s="12" t="s">
        <v>98</v>
      </c>
      <c r="I59" s="12" t="s">
        <v>98</v>
      </c>
      <c r="J59" s="12">
        <v>450</v>
      </c>
      <c r="K59" s="12" t="s">
        <v>208</v>
      </c>
      <c r="L59" s="12">
        <v>700</v>
      </c>
      <c r="M59" s="12">
        <v>600</v>
      </c>
      <c r="N59" s="12">
        <v>900</v>
      </c>
    </row>
    <row r="60" spans="1:14" x14ac:dyDescent="0.3">
      <c r="A60" s="12" t="s">
        <v>31</v>
      </c>
      <c r="B60" s="12">
        <v>3.5</v>
      </c>
      <c r="C60" s="12">
        <v>1500</v>
      </c>
      <c r="D60" s="12">
        <v>2700</v>
      </c>
      <c r="E60" s="12">
        <v>2100</v>
      </c>
      <c r="F60" s="12" t="s">
        <v>171</v>
      </c>
      <c r="G60" s="12">
        <v>1800</v>
      </c>
      <c r="H60" s="12">
        <v>1800</v>
      </c>
      <c r="I60" s="12" t="s">
        <v>98</v>
      </c>
      <c r="J60" s="12">
        <v>300</v>
      </c>
      <c r="K60" s="12" t="s">
        <v>208</v>
      </c>
      <c r="L60" s="12">
        <v>700</v>
      </c>
      <c r="M60" s="12">
        <v>600</v>
      </c>
      <c r="N60" s="12">
        <v>900</v>
      </c>
    </row>
    <row r="61" spans="1:14" x14ac:dyDescent="0.3">
      <c r="A61" s="12" t="s">
        <v>83</v>
      </c>
      <c r="B61" s="12">
        <v>4.8</v>
      </c>
      <c r="C61" s="12">
        <v>2400</v>
      </c>
      <c r="D61" s="12">
        <v>3000</v>
      </c>
      <c r="E61" s="12">
        <v>2400</v>
      </c>
      <c r="F61" s="12" t="s">
        <v>171</v>
      </c>
      <c r="G61" s="12">
        <v>1800</v>
      </c>
      <c r="H61" s="12">
        <v>1800</v>
      </c>
      <c r="I61" s="12" t="s">
        <v>98</v>
      </c>
      <c r="J61" s="12">
        <v>300</v>
      </c>
      <c r="K61" s="12" t="s">
        <v>208</v>
      </c>
      <c r="L61" s="12">
        <v>700</v>
      </c>
      <c r="M61" s="12">
        <v>600</v>
      </c>
      <c r="N61" s="12">
        <v>900</v>
      </c>
    </row>
    <row r="62" spans="1:14" x14ac:dyDescent="0.3">
      <c r="A62" s="12" t="s">
        <v>28</v>
      </c>
      <c r="B62" s="12">
        <v>3.9</v>
      </c>
      <c r="C62" s="12">
        <v>1500</v>
      </c>
      <c r="D62" s="12">
        <v>3000</v>
      </c>
      <c r="E62" s="12">
        <v>2400</v>
      </c>
      <c r="F62" s="12" t="s">
        <v>171</v>
      </c>
      <c r="G62" s="12">
        <v>1800</v>
      </c>
      <c r="H62" s="12">
        <v>1800</v>
      </c>
      <c r="I62" s="12" t="s">
        <v>98</v>
      </c>
      <c r="J62" s="12">
        <v>300</v>
      </c>
      <c r="K62" s="12" t="s">
        <v>208</v>
      </c>
      <c r="L62" s="12">
        <v>700</v>
      </c>
      <c r="M62" s="12">
        <v>600</v>
      </c>
      <c r="N62" s="12">
        <v>900</v>
      </c>
    </row>
    <row r="63" spans="1:14" x14ac:dyDescent="0.3">
      <c r="A63" s="12" t="s">
        <v>187</v>
      </c>
      <c r="B63" s="12">
        <v>4.3</v>
      </c>
      <c r="C63" s="12">
        <v>1800</v>
      </c>
      <c r="D63" s="12">
        <v>3000</v>
      </c>
      <c r="E63" s="12">
        <v>2400</v>
      </c>
      <c r="F63" s="12" t="s">
        <v>171</v>
      </c>
      <c r="G63" s="12">
        <v>2100</v>
      </c>
      <c r="H63" s="12">
        <v>2100</v>
      </c>
      <c r="I63" s="12" t="s">
        <v>98</v>
      </c>
      <c r="J63" s="12">
        <v>300</v>
      </c>
      <c r="K63" s="12" t="s">
        <v>208</v>
      </c>
      <c r="L63" s="12">
        <v>700</v>
      </c>
      <c r="M63" s="12">
        <v>600</v>
      </c>
      <c r="N63" s="12">
        <v>900</v>
      </c>
    </row>
    <row r="64" spans="1:14" x14ac:dyDescent="0.3">
      <c r="A64" s="12" t="s">
        <v>30</v>
      </c>
      <c r="B64" s="12">
        <v>5.0999999999999996</v>
      </c>
      <c r="C64" s="12">
        <v>2400</v>
      </c>
      <c r="D64" s="12">
        <v>3000</v>
      </c>
      <c r="E64" s="12">
        <v>2400</v>
      </c>
      <c r="F64" s="12" t="s">
        <v>171</v>
      </c>
      <c r="G64" s="12">
        <v>2400</v>
      </c>
      <c r="H64" s="12">
        <v>1800</v>
      </c>
      <c r="I64" s="12" t="s">
        <v>98</v>
      </c>
      <c r="J64" s="12">
        <v>300</v>
      </c>
      <c r="K64" s="12" t="s">
        <v>208</v>
      </c>
      <c r="L64" s="12">
        <v>700</v>
      </c>
      <c r="M64" s="12">
        <v>600</v>
      </c>
      <c r="N64" s="12">
        <v>900</v>
      </c>
    </row>
    <row r="65" spans="1:14" x14ac:dyDescent="0.3">
      <c r="A65" s="12" t="s">
        <v>44</v>
      </c>
      <c r="B65" s="12">
        <v>4.3</v>
      </c>
      <c r="C65" s="12">
        <v>1500</v>
      </c>
      <c r="D65" s="12">
        <v>3000</v>
      </c>
      <c r="E65" s="12">
        <v>2400</v>
      </c>
      <c r="F65" s="12" t="s">
        <v>171</v>
      </c>
      <c r="G65" s="12">
        <v>2400</v>
      </c>
      <c r="H65" s="12">
        <v>1800</v>
      </c>
      <c r="I65" s="12" t="s">
        <v>98</v>
      </c>
      <c r="J65" s="12">
        <v>300</v>
      </c>
      <c r="K65" s="12" t="s">
        <v>208</v>
      </c>
      <c r="L65" s="12">
        <v>700</v>
      </c>
      <c r="M65" s="12">
        <v>600</v>
      </c>
      <c r="N65" s="12">
        <v>900</v>
      </c>
    </row>
    <row r="66" spans="1:14" x14ac:dyDescent="0.3">
      <c r="A66" s="12" t="s">
        <v>46</v>
      </c>
      <c r="B66" s="12">
        <v>5.6</v>
      </c>
      <c r="C66" s="12">
        <v>2400</v>
      </c>
      <c r="D66" s="12">
        <v>3000</v>
      </c>
      <c r="E66" s="12">
        <v>2400</v>
      </c>
      <c r="F66" s="12" t="s">
        <v>171</v>
      </c>
      <c r="G66" s="12">
        <v>2400</v>
      </c>
      <c r="H66" s="12">
        <v>1800</v>
      </c>
      <c r="I66" s="12" t="s">
        <v>98</v>
      </c>
      <c r="J66" s="12">
        <v>300</v>
      </c>
      <c r="K66" s="12" t="s">
        <v>208</v>
      </c>
      <c r="L66" s="12">
        <v>700</v>
      </c>
      <c r="M66" s="12">
        <v>600</v>
      </c>
      <c r="N66" s="12">
        <v>900</v>
      </c>
    </row>
    <row r="67" spans="1:14" x14ac:dyDescent="0.3">
      <c r="A67" s="12" t="s">
        <v>91</v>
      </c>
      <c r="B67" s="12">
        <v>4.4000000000000004</v>
      </c>
      <c r="C67" s="12">
        <v>1500</v>
      </c>
      <c r="D67" s="12">
        <v>3000</v>
      </c>
      <c r="E67" s="12">
        <v>2400</v>
      </c>
      <c r="F67" s="12" t="s">
        <v>171</v>
      </c>
      <c r="G67" s="12">
        <v>2400</v>
      </c>
      <c r="H67" s="12">
        <v>1800</v>
      </c>
      <c r="I67" s="12" t="s">
        <v>98</v>
      </c>
      <c r="J67" s="12">
        <v>300</v>
      </c>
      <c r="K67" s="12" t="s">
        <v>208</v>
      </c>
      <c r="L67" s="12">
        <v>700</v>
      </c>
      <c r="M67" s="12">
        <v>600</v>
      </c>
      <c r="N67" s="12">
        <v>900</v>
      </c>
    </row>
    <row r="68" spans="1:14" x14ac:dyDescent="0.3">
      <c r="A68" s="12" t="s">
        <v>92</v>
      </c>
      <c r="B68" s="12">
        <v>4.8</v>
      </c>
      <c r="C68" s="12">
        <v>1800</v>
      </c>
      <c r="D68" s="12">
        <v>3000</v>
      </c>
      <c r="E68" s="12">
        <v>2400</v>
      </c>
      <c r="F68" s="12" t="s">
        <v>171</v>
      </c>
      <c r="G68" s="12">
        <v>2400</v>
      </c>
      <c r="H68" s="12">
        <v>1800</v>
      </c>
      <c r="I68" s="12" t="s">
        <v>98</v>
      </c>
      <c r="J68" s="12">
        <v>300</v>
      </c>
      <c r="K68" s="12" t="s">
        <v>208</v>
      </c>
      <c r="L68" s="12">
        <v>700</v>
      </c>
      <c r="M68" s="12">
        <v>600</v>
      </c>
      <c r="N68" s="12">
        <v>900</v>
      </c>
    </row>
    <row r="69" spans="1:14" x14ac:dyDescent="0.3">
      <c r="A69" s="12" t="s">
        <v>188</v>
      </c>
      <c r="B69" s="12">
        <v>5.7</v>
      </c>
      <c r="C69" s="12">
        <v>2400</v>
      </c>
      <c r="D69" s="12">
        <v>3300</v>
      </c>
      <c r="E69" s="12">
        <v>2400</v>
      </c>
      <c r="F69" s="12" t="s">
        <v>171</v>
      </c>
      <c r="G69" s="12">
        <v>2400</v>
      </c>
      <c r="H69" s="12">
        <v>1800</v>
      </c>
      <c r="I69" s="12" t="s">
        <v>98</v>
      </c>
      <c r="J69" s="12">
        <v>300</v>
      </c>
      <c r="K69" s="12" t="s">
        <v>208</v>
      </c>
      <c r="L69" s="12">
        <v>700</v>
      </c>
      <c r="M69" s="12">
        <v>600</v>
      </c>
      <c r="N69" s="12">
        <v>900</v>
      </c>
    </row>
    <row r="70" spans="1:14" x14ac:dyDescent="0.3">
      <c r="A70" s="12" t="s">
        <v>90</v>
      </c>
      <c r="B70" s="12">
        <v>5.9</v>
      </c>
      <c r="C70" s="12">
        <v>2400</v>
      </c>
      <c r="D70" s="12">
        <v>3600</v>
      </c>
      <c r="E70" s="12">
        <v>2700</v>
      </c>
      <c r="F70" s="12" t="s">
        <v>171</v>
      </c>
      <c r="G70" s="12">
        <v>2400</v>
      </c>
      <c r="H70" s="12">
        <v>1800</v>
      </c>
      <c r="I70" s="12" t="s">
        <v>98</v>
      </c>
      <c r="J70" s="12">
        <v>300</v>
      </c>
      <c r="K70" s="12" t="s">
        <v>208</v>
      </c>
      <c r="L70" s="12">
        <v>700</v>
      </c>
      <c r="M70" s="12">
        <v>600</v>
      </c>
      <c r="N70" s="12">
        <v>900</v>
      </c>
    </row>
    <row r="71" spans="1:14" x14ac:dyDescent="0.3">
      <c r="A71" s="12" t="s">
        <v>89</v>
      </c>
      <c r="B71" s="12">
        <v>5.4</v>
      </c>
      <c r="C71" s="12">
        <v>1800</v>
      </c>
      <c r="D71" s="12">
        <v>3600</v>
      </c>
      <c r="E71" s="12">
        <v>2700</v>
      </c>
      <c r="F71" s="12" t="s">
        <v>171</v>
      </c>
      <c r="G71" s="12">
        <v>2400</v>
      </c>
      <c r="H71" s="12">
        <v>1800</v>
      </c>
      <c r="I71" s="12" t="s">
        <v>98</v>
      </c>
      <c r="J71" s="12">
        <v>300</v>
      </c>
      <c r="K71" s="12" t="s">
        <v>208</v>
      </c>
      <c r="L71" s="12">
        <v>700</v>
      </c>
      <c r="M71" s="12">
        <v>600</v>
      </c>
      <c r="N71" s="12">
        <v>900</v>
      </c>
    </row>
    <row r="72" spans="1:14" x14ac:dyDescent="0.3">
      <c r="A72" s="12" t="s">
        <v>67</v>
      </c>
      <c r="B72" s="12">
        <v>6.9</v>
      </c>
      <c r="C72" s="12">
        <v>2400</v>
      </c>
      <c r="D72" s="12">
        <v>3600</v>
      </c>
      <c r="E72" s="12">
        <v>2700</v>
      </c>
      <c r="F72" s="12" t="s">
        <v>171</v>
      </c>
      <c r="G72" s="12">
        <v>2700</v>
      </c>
      <c r="H72" s="12">
        <v>2100</v>
      </c>
      <c r="I72" s="12" t="s">
        <v>98</v>
      </c>
      <c r="J72" s="12">
        <v>300</v>
      </c>
      <c r="K72" s="12" t="s">
        <v>208</v>
      </c>
      <c r="L72" s="12">
        <v>700</v>
      </c>
      <c r="M72" s="12">
        <v>600</v>
      </c>
      <c r="N72" s="12">
        <v>900</v>
      </c>
    </row>
    <row r="73" spans="1:14" x14ac:dyDescent="0.3">
      <c r="A73" s="12" t="s">
        <v>189</v>
      </c>
      <c r="B73" s="12">
        <v>5.3</v>
      </c>
      <c r="C73" s="12">
        <v>1500</v>
      </c>
      <c r="D73" s="12">
        <v>3300</v>
      </c>
      <c r="E73" s="12">
        <v>2700</v>
      </c>
      <c r="F73" s="12">
        <v>1800</v>
      </c>
      <c r="G73" s="12">
        <v>2400</v>
      </c>
      <c r="H73" s="12">
        <v>1800</v>
      </c>
      <c r="I73" s="151">
        <v>1800</v>
      </c>
      <c r="J73" s="151">
        <v>300</v>
      </c>
      <c r="K73" s="12" t="s">
        <v>208</v>
      </c>
      <c r="L73" s="12">
        <v>700</v>
      </c>
      <c r="M73" s="12">
        <v>600</v>
      </c>
      <c r="N73" s="12">
        <v>900</v>
      </c>
    </row>
    <row r="74" spans="1:14" x14ac:dyDescent="0.3">
      <c r="A74" s="12" t="s">
        <v>32</v>
      </c>
      <c r="B74" s="12">
        <v>5.7</v>
      </c>
      <c r="C74" s="12">
        <v>1800</v>
      </c>
      <c r="D74" s="12">
        <v>3300</v>
      </c>
      <c r="E74" s="12">
        <v>2700</v>
      </c>
      <c r="F74" s="12">
        <v>1800</v>
      </c>
      <c r="G74" s="12">
        <v>2400</v>
      </c>
      <c r="H74" s="12">
        <v>1800</v>
      </c>
      <c r="I74" s="151">
        <v>1800</v>
      </c>
      <c r="J74" s="151">
        <v>300</v>
      </c>
      <c r="K74" s="12" t="s">
        <v>208</v>
      </c>
      <c r="L74" s="12">
        <v>700</v>
      </c>
      <c r="M74" s="12">
        <v>600</v>
      </c>
      <c r="N74" s="12">
        <v>900</v>
      </c>
    </row>
    <row r="75" spans="1:14" x14ac:dyDescent="0.3">
      <c r="A75" s="12" t="s">
        <v>56</v>
      </c>
      <c r="B75" s="12">
        <v>6.6</v>
      </c>
      <c r="C75" s="12">
        <v>2400</v>
      </c>
      <c r="D75" s="12">
        <v>3600</v>
      </c>
      <c r="E75" s="12">
        <v>2700</v>
      </c>
      <c r="F75" s="12">
        <v>1800</v>
      </c>
      <c r="G75" s="12">
        <v>2400</v>
      </c>
      <c r="H75" s="12">
        <v>1800</v>
      </c>
      <c r="I75" s="151">
        <v>1800</v>
      </c>
      <c r="J75" s="151">
        <v>300</v>
      </c>
      <c r="K75" s="12" t="s">
        <v>208</v>
      </c>
      <c r="L75" s="12">
        <v>700</v>
      </c>
      <c r="M75" s="12">
        <v>600</v>
      </c>
      <c r="N75" s="12">
        <v>900</v>
      </c>
    </row>
    <row r="76" spans="1:14" x14ac:dyDescent="0.3">
      <c r="A76" s="12" t="s">
        <v>69</v>
      </c>
      <c r="B76" s="12">
        <v>5.5</v>
      </c>
      <c r="C76" s="12">
        <v>1500</v>
      </c>
      <c r="D76" s="12">
        <v>3600</v>
      </c>
      <c r="E76" s="12">
        <v>2700</v>
      </c>
      <c r="F76" s="12">
        <v>1800</v>
      </c>
      <c r="G76" s="12">
        <v>2400</v>
      </c>
      <c r="H76" s="12">
        <v>1800</v>
      </c>
      <c r="I76" s="151">
        <v>1800</v>
      </c>
      <c r="J76" s="151">
        <v>300</v>
      </c>
      <c r="K76" s="12" t="s">
        <v>208</v>
      </c>
      <c r="L76" s="12">
        <v>700</v>
      </c>
      <c r="M76" s="12">
        <v>600</v>
      </c>
      <c r="N76" s="12">
        <v>900</v>
      </c>
    </row>
    <row r="77" spans="1:14" x14ac:dyDescent="0.3">
      <c r="A77" s="12" t="s">
        <v>47</v>
      </c>
      <c r="B77" s="12">
        <v>6</v>
      </c>
      <c r="C77" s="12">
        <v>1800</v>
      </c>
      <c r="D77" s="12">
        <v>3600</v>
      </c>
      <c r="E77" s="12">
        <v>2700</v>
      </c>
      <c r="F77" s="12">
        <v>1800</v>
      </c>
      <c r="G77" s="12">
        <v>2700</v>
      </c>
      <c r="H77" s="12">
        <v>2100</v>
      </c>
      <c r="I77" s="151">
        <v>2100</v>
      </c>
      <c r="J77" s="151">
        <v>300</v>
      </c>
      <c r="K77" s="12" t="s">
        <v>208</v>
      </c>
      <c r="L77" s="12">
        <v>700</v>
      </c>
      <c r="M77" s="12">
        <v>600</v>
      </c>
      <c r="N77" s="12">
        <v>900</v>
      </c>
    </row>
    <row r="78" spans="1:14" x14ac:dyDescent="0.3">
      <c r="A78" s="12" t="s">
        <v>82</v>
      </c>
      <c r="B78" s="12">
        <v>7.6</v>
      </c>
      <c r="C78" s="12">
        <v>2400</v>
      </c>
      <c r="D78" s="12">
        <v>3600</v>
      </c>
      <c r="E78" s="12">
        <v>2700</v>
      </c>
      <c r="F78" s="12">
        <v>1800</v>
      </c>
      <c r="G78" s="12">
        <v>2700</v>
      </c>
      <c r="H78" s="12">
        <v>2100</v>
      </c>
      <c r="I78" s="151">
        <v>2100</v>
      </c>
      <c r="J78" s="151">
        <v>300</v>
      </c>
      <c r="K78" s="12" t="s">
        <v>208</v>
      </c>
      <c r="L78" s="12">
        <v>700</v>
      </c>
      <c r="M78" s="12">
        <v>600</v>
      </c>
      <c r="N78" s="12">
        <v>900</v>
      </c>
    </row>
    <row r="79" spans="1:14" x14ac:dyDescent="0.3">
      <c r="A79" s="12" t="s">
        <v>84</v>
      </c>
      <c r="B79" s="12">
        <v>7.5</v>
      </c>
      <c r="C79" s="12">
        <v>1500</v>
      </c>
      <c r="D79" s="12">
        <v>4200</v>
      </c>
      <c r="E79" s="12">
        <v>3300</v>
      </c>
      <c r="F79" s="12">
        <v>2400</v>
      </c>
      <c r="G79" s="12">
        <v>2700</v>
      </c>
      <c r="H79" s="12">
        <v>2100</v>
      </c>
      <c r="I79" s="151">
        <v>2100</v>
      </c>
      <c r="J79" s="151">
        <v>300</v>
      </c>
      <c r="K79" s="12" t="s">
        <v>208</v>
      </c>
      <c r="L79" s="12">
        <v>700</v>
      </c>
      <c r="M79" s="12">
        <v>600</v>
      </c>
      <c r="N79" s="12">
        <v>900</v>
      </c>
    </row>
    <row r="80" spans="1:14" x14ac:dyDescent="0.3">
      <c r="A80" s="12" t="s">
        <v>33</v>
      </c>
      <c r="B80" s="12">
        <v>10.4</v>
      </c>
      <c r="C80" s="12">
        <v>2400</v>
      </c>
      <c r="D80" s="12">
        <v>4800</v>
      </c>
      <c r="E80" s="12">
        <v>3600</v>
      </c>
      <c r="F80" s="12">
        <v>2700</v>
      </c>
      <c r="G80" s="12">
        <v>3000</v>
      </c>
      <c r="H80" s="152">
        <v>2400</v>
      </c>
      <c r="I80" s="151">
        <v>1800</v>
      </c>
      <c r="J80" s="151">
        <v>300</v>
      </c>
      <c r="K80" s="12" t="s">
        <v>208</v>
      </c>
      <c r="L80" s="12">
        <v>700</v>
      </c>
      <c r="M80" s="12">
        <v>600</v>
      </c>
      <c r="N80" s="12">
        <v>900</v>
      </c>
    </row>
    <row r="81" spans="1:14" x14ac:dyDescent="0.3">
      <c r="A81" s="12" t="s">
        <v>48</v>
      </c>
      <c r="B81" s="12">
        <v>10.6</v>
      </c>
      <c r="C81" s="12">
        <v>2400</v>
      </c>
      <c r="D81" s="12">
        <v>4800</v>
      </c>
      <c r="E81" s="12">
        <v>3600</v>
      </c>
      <c r="F81" s="12">
        <v>2700</v>
      </c>
      <c r="G81" s="12">
        <v>3000</v>
      </c>
      <c r="H81" s="152">
        <v>2400</v>
      </c>
      <c r="I81" s="151">
        <v>1800</v>
      </c>
      <c r="J81" s="151">
        <v>300</v>
      </c>
      <c r="K81" s="12" t="s">
        <v>208</v>
      </c>
      <c r="L81" s="12">
        <v>700</v>
      </c>
      <c r="M81" s="12">
        <v>600</v>
      </c>
      <c r="N81" s="12">
        <v>900</v>
      </c>
    </row>
    <row r="82" spans="1:14" x14ac:dyDescent="0.3">
      <c r="A82" s="12" t="s">
        <v>34</v>
      </c>
      <c r="B82" s="12">
        <v>4</v>
      </c>
      <c r="C82" s="12">
        <v>1500</v>
      </c>
      <c r="D82" s="12">
        <v>3000</v>
      </c>
      <c r="E82" s="12">
        <v>2400</v>
      </c>
      <c r="F82" s="12" t="s">
        <v>98</v>
      </c>
      <c r="G82" s="12">
        <v>1800</v>
      </c>
      <c r="H82" s="12">
        <v>1800</v>
      </c>
      <c r="I82" s="12" t="s">
        <v>98</v>
      </c>
      <c r="J82" s="12">
        <v>300</v>
      </c>
      <c r="K82" s="12" t="s">
        <v>209</v>
      </c>
      <c r="L82" s="12">
        <v>900</v>
      </c>
      <c r="M82" s="12">
        <v>600</v>
      </c>
      <c r="N82" s="12">
        <v>900</v>
      </c>
    </row>
    <row r="83" spans="1:14" x14ac:dyDescent="0.3">
      <c r="A83" s="12" t="s">
        <v>35</v>
      </c>
      <c r="B83" s="12">
        <v>5.6</v>
      </c>
      <c r="C83" s="12">
        <v>2400</v>
      </c>
      <c r="D83" s="12">
        <v>3000</v>
      </c>
      <c r="E83" s="12">
        <v>2400</v>
      </c>
      <c r="F83" s="12" t="s">
        <v>98</v>
      </c>
      <c r="G83" s="12">
        <v>2100</v>
      </c>
      <c r="H83" s="12">
        <v>2100</v>
      </c>
      <c r="I83" s="12" t="s">
        <v>98</v>
      </c>
      <c r="J83" s="12">
        <v>300</v>
      </c>
      <c r="K83" s="12" t="s">
        <v>209</v>
      </c>
      <c r="L83" s="12">
        <v>900</v>
      </c>
      <c r="M83" s="12">
        <v>600</v>
      </c>
      <c r="N83" s="12">
        <v>900</v>
      </c>
    </row>
    <row r="84" spans="1:14" x14ac:dyDescent="0.3">
      <c r="A84" s="12" t="s">
        <v>49</v>
      </c>
      <c r="B84" s="12">
        <v>4.5</v>
      </c>
      <c r="C84" s="12">
        <v>1500</v>
      </c>
      <c r="D84" s="12">
        <v>3000</v>
      </c>
      <c r="E84" s="12">
        <v>2400</v>
      </c>
      <c r="F84" s="12" t="s">
        <v>98</v>
      </c>
      <c r="G84" s="12">
        <v>2100</v>
      </c>
      <c r="H84" s="12">
        <v>2100</v>
      </c>
      <c r="I84" s="12" t="s">
        <v>98</v>
      </c>
      <c r="J84" s="12">
        <v>300</v>
      </c>
      <c r="K84" s="12" t="s">
        <v>209</v>
      </c>
      <c r="L84" s="12">
        <v>900</v>
      </c>
      <c r="M84" s="12">
        <v>600</v>
      </c>
      <c r="N84" s="12">
        <v>900</v>
      </c>
    </row>
    <row r="85" spans="1:14" x14ac:dyDescent="0.3">
      <c r="A85" s="12" t="s">
        <v>70</v>
      </c>
      <c r="B85" s="12">
        <v>5</v>
      </c>
      <c r="C85" s="12">
        <v>1800</v>
      </c>
      <c r="D85" s="12">
        <v>3000</v>
      </c>
      <c r="E85" s="12">
        <v>2400</v>
      </c>
      <c r="F85" s="12" t="s">
        <v>98</v>
      </c>
      <c r="G85" s="12">
        <v>2100</v>
      </c>
      <c r="H85" s="12">
        <v>2100</v>
      </c>
      <c r="I85" s="12" t="s">
        <v>98</v>
      </c>
      <c r="J85" s="12">
        <v>300</v>
      </c>
      <c r="K85" s="12" t="s">
        <v>209</v>
      </c>
      <c r="L85" s="12">
        <v>900</v>
      </c>
      <c r="M85" s="12">
        <v>600</v>
      </c>
      <c r="N85" s="12">
        <v>900</v>
      </c>
    </row>
    <row r="86" spans="1:14" x14ac:dyDescent="0.3">
      <c r="A86" s="12" t="s">
        <v>50</v>
      </c>
      <c r="B86" s="12">
        <v>6.1</v>
      </c>
      <c r="C86" s="12">
        <v>2400</v>
      </c>
      <c r="D86" s="12">
        <v>3000</v>
      </c>
      <c r="E86" s="12">
        <v>2400</v>
      </c>
      <c r="F86" s="12" t="s">
        <v>98</v>
      </c>
      <c r="G86" s="12">
        <v>2400</v>
      </c>
      <c r="H86" s="12">
        <v>1800</v>
      </c>
      <c r="I86" s="12" t="s">
        <v>98</v>
      </c>
      <c r="J86" s="12">
        <v>300</v>
      </c>
      <c r="K86" s="12" t="s">
        <v>209</v>
      </c>
      <c r="L86" s="12">
        <v>900</v>
      </c>
      <c r="M86" s="12">
        <v>600</v>
      </c>
      <c r="N86" s="12">
        <v>900</v>
      </c>
    </row>
    <row r="87" spans="1:14" x14ac:dyDescent="0.3">
      <c r="A87" s="12" t="s">
        <v>190</v>
      </c>
      <c r="B87" s="12">
        <v>7.2</v>
      </c>
      <c r="C87" s="12">
        <v>3000</v>
      </c>
      <c r="D87" s="12">
        <v>3000</v>
      </c>
      <c r="E87" s="12">
        <v>2400</v>
      </c>
      <c r="F87" s="12" t="s">
        <v>98</v>
      </c>
      <c r="G87" s="12">
        <v>2400</v>
      </c>
      <c r="H87" s="12">
        <v>1800</v>
      </c>
      <c r="I87" s="12" t="s">
        <v>98</v>
      </c>
      <c r="J87" s="12">
        <v>300</v>
      </c>
      <c r="K87" s="12" t="s">
        <v>209</v>
      </c>
      <c r="L87" s="12">
        <v>900</v>
      </c>
      <c r="M87" s="12">
        <v>600</v>
      </c>
      <c r="N87" s="12">
        <v>900</v>
      </c>
    </row>
    <row r="88" spans="1:14" x14ac:dyDescent="0.3">
      <c r="A88" s="12" t="s">
        <v>61</v>
      </c>
      <c r="B88" s="12">
        <v>5.0999999999999996</v>
      </c>
      <c r="C88" s="12">
        <v>1800</v>
      </c>
      <c r="D88" s="12">
        <v>3000</v>
      </c>
      <c r="E88" s="12">
        <v>2400</v>
      </c>
      <c r="F88" s="12" t="s">
        <v>98</v>
      </c>
      <c r="G88" s="12">
        <v>2400</v>
      </c>
      <c r="H88" s="12">
        <v>1800</v>
      </c>
      <c r="I88" s="12" t="s">
        <v>98</v>
      </c>
      <c r="J88" s="12">
        <v>300</v>
      </c>
      <c r="K88" s="12" t="s">
        <v>209</v>
      </c>
      <c r="L88" s="12">
        <v>900</v>
      </c>
      <c r="M88" s="12">
        <v>600</v>
      </c>
      <c r="N88" s="12">
        <v>900</v>
      </c>
    </row>
    <row r="89" spans="1:14" x14ac:dyDescent="0.3">
      <c r="A89" s="12" t="s">
        <v>62</v>
      </c>
      <c r="B89" s="12">
        <v>3.2</v>
      </c>
      <c r="C89" s="12">
        <v>2400</v>
      </c>
      <c r="D89" s="12">
        <v>3000</v>
      </c>
      <c r="E89" s="12">
        <v>2400</v>
      </c>
      <c r="F89" s="12" t="s">
        <v>98</v>
      </c>
      <c r="G89" s="12">
        <v>2400</v>
      </c>
      <c r="H89" s="12">
        <v>1800</v>
      </c>
      <c r="I89" s="12" t="s">
        <v>98</v>
      </c>
      <c r="J89" s="12">
        <v>300</v>
      </c>
      <c r="K89" s="12" t="s">
        <v>209</v>
      </c>
      <c r="L89" s="12">
        <v>900</v>
      </c>
      <c r="M89" s="12">
        <v>600</v>
      </c>
      <c r="N89" s="12">
        <v>900</v>
      </c>
    </row>
    <row r="90" spans="1:14" x14ac:dyDescent="0.3">
      <c r="A90" s="12" t="s">
        <v>55</v>
      </c>
      <c r="B90" s="12">
        <v>4.9000000000000004</v>
      </c>
      <c r="C90" s="12">
        <v>1500</v>
      </c>
      <c r="D90" s="12">
        <v>3300</v>
      </c>
      <c r="E90" s="12">
        <v>2700</v>
      </c>
      <c r="F90" s="12" t="s">
        <v>98</v>
      </c>
      <c r="G90" s="12">
        <v>2400</v>
      </c>
      <c r="H90" s="12">
        <v>1800</v>
      </c>
      <c r="I90" s="12" t="s">
        <v>98</v>
      </c>
      <c r="J90" s="12">
        <v>300</v>
      </c>
      <c r="K90" s="12" t="s">
        <v>209</v>
      </c>
      <c r="L90" s="12">
        <v>900</v>
      </c>
      <c r="M90" s="12">
        <v>600</v>
      </c>
      <c r="N90" s="12">
        <v>900</v>
      </c>
    </row>
    <row r="91" spans="1:14" x14ac:dyDescent="0.3">
      <c r="A91" s="12" t="s">
        <v>76</v>
      </c>
      <c r="B91" s="12">
        <v>5.5</v>
      </c>
      <c r="C91" s="12">
        <v>1800</v>
      </c>
      <c r="D91" s="12">
        <v>3300</v>
      </c>
      <c r="E91" s="12">
        <v>2700</v>
      </c>
      <c r="F91" s="12" t="s">
        <v>98</v>
      </c>
      <c r="G91" s="12">
        <v>2400</v>
      </c>
      <c r="H91" s="12">
        <v>1800</v>
      </c>
      <c r="I91" s="12" t="s">
        <v>98</v>
      </c>
      <c r="J91" s="12">
        <v>300</v>
      </c>
      <c r="K91" s="12" t="s">
        <v>209</v>
      </c>
      <c r="L91" s="12">
        <v>900</v>
      </c>
      <c r="M91" s="12">
        <v>600</v>
      </c>
      <c r="N91" s="12">
        <v>900</v>
      </c>
    </row>
    <row r="92" spans="1:14" x14ac:dyDescent="0.3">
      <c r="A92" s="12" t="s">
        <v>77</v>
      </c>
      <c r="B92" s="12">
        <v>6.6</v>
      </c>
      <c r="C92" s="12">
        <v>2400</v>
      </c>
      <c r="D92" s="12">
        <v>3300</v>
      </c>
      <c r="E92" s="12">
        <v>2700</v>
      </c>
      <c r="F92" s="12" t="s">
        <v>98</v>
      </c>
      <c r="G92" s="12">
        <v>2400</v>
      </c>
      <c r="H92" s="12">
        <v>1800</v>
      </c>
      <c r="I92" s="12" t="s">
        <v>98</v>
      </c>
      <c r="J92" s="12">
        <v>300</v>
      </c>
      <c r="K92" s="12" t="s">
        <v>209</v>
      </c>
      <c r="L92" s="12">
        <v>900</v>
      </c>
      <c r="M92" s="12">
        <v>600</v>
      </c>
      <c r="N92" s="12">
        <v>900</v>
      </c>
    </row>
    <row r="93" spans="1:14" x14ac:dyDescent="0.3">
      <c r="A93" s="12" t="s">
        <v>63</v>
      </c>
      <c r="B93" s="12">
        <v>5.2</v>
      </c>
      <c r="C93" s="12">
        <v>1500</v>
      </c>
      <c r="D93" s="12">
        <v>3300</v>
      </c>
      <c r="E93" s="12">
        <v>2700</v>
      </c>
      <c r="F93" s="12" t="s">
        <v>98</v>
      </c>
      <c r="G93" s="12">
        <v>2400</v>
      </c>
      <c r="H93" s="12">
        <v>1800</v>
      </c>
      <c r="I93" s="12" t="s">
        <v>98</v>
      </c>
      <c r="J93" s="12">
        <v>300</v>
      </c>
      <c r="K93" s="12" t="s">
        <v>209</v>
      </c>
      <c r="L93" s="12">
        <v>900</v>
      </c>
      <c r="M93" s="12">
        <v>600</v>
      </c>
      <c r="N93" s="12">
        <v>900</v>
      </c>
    </row>
    <row r="94" spans="1:14" x14ac:dyDescent="0.3">
      <c r="A94" s="12" t="s">
        <v>85</v>
      </c>
      <c r="B94" s="12">
        <v>5.7</v>
      </c>
      <c r="C94" s="12">
        <v>1800</v>
      </c>
      <c r="D94" s="12">
        <v>3300</v>
      </c>
      <c r="E94" s="12">
        <v>2700</v>
      </c>
      <c r="F94" s="12" t="s">
        <v>98</v>
      </c>
      <c r="G94" s="12">
        <v>2700</v>
      </c>
      <c r="H94" s="12">
        <v>2100</v>
      </c>
      <c r="I94" s="12" t="s">
        <v>98</v>
      </c>
      <c r="J94" s="12">
        <v>300</v>
      </c>
      <c r="K94" s="12" t="s">
        <v>209</v>
      </c>
      <c r="L94" s="12">
        <v>900</v>
      </c>
      <c r="M94" s="12">
        <v>600</v>
      </c>
      <c r="N94" s="12">
        <v>900</v>
      </c>
    </row>
    <row r="95" spans="1:14" x14ac:dyDescent="0.3">
      <c r="A95" s="12" t="s">
        <v>191</v>
      </c>
      <c r="B95" s="12">
        <v>7.9</v>
      </c>
      <c r="C95" s="12">
        <v>3000</v>
      </c>
      <c r="D95" s="12">
        <v>3300</v>
      </c>
      <c r="E95" s="12">
        <v>2700</v>
      </c>
      <c r="F95" s="12" t="s">
        <v>98</v>
      </c>
      <c r="G95" s="12">
        <v>2700</v>
      </c>
      <c r="H95" s="12">
        <v>2100</v>
      </c>
      <c r="I95" s="12" t="s">
        <v>98</v>
      </c>
      <c r="J95" s="12">
        <v>300</v>
      </c>
      <c r="K95" s="12" t="s">
        <v>209</v>
      </c>
      <c r="L95" s="12">
        <v>900</v>
      </c>
      <c r="M95" s="12">
        <v>600</v>
      </c>
      <c r="N95" s="12">
        <v>900</v>
      </c>
    </row>
    <row r="96" spans="1:14" x14ac:dyDescent="0.3">
      <c r="A96" s="12" t="s">
        <v>78</v>
      </c>
      <c r="B96" s="12">
        <v>5.7</v>
      </c>
      <c r="C96" s="12">
        <v>1500</v>
      </c>
      <c r="D96" s="12">
        <v>3300</v>
      </c>
      <c r="E96" s="12">
        <v>2700</v>
      </c>
      <c r="F96" s="12" t="s">
        <v>98</v>
      </c>
      <c r="G96" s="12">
        <v>2700</v>
      </c>
      <c r="H96" s="12">
        <v>2100</v>
      </c>
      <c r="I96" s="12" t="s">
        <v>98</v>
      </c>
      <c r="J96" s="12">
        <v>300</v>
      </c>
      <c r="K96" s="12" t="s">
        <v>209</v>
      </c>
      <c r="L96" s="12">
        <v>900</v>
      </c>
      <c r="M96" s="12">
        <v>600</v>
      </c>
      <c r="N96" s="12">
        <v>900</v>
      </c>
    </row>
    <row r="97" spans="1:14" x14ac:dyDescent="0.3">
      <c r="A97" s="12" t="s">
        <v>192</v>
      </c>
      <c r="B97" s="12">
        <v>5.8</v>
      </c>
      <c r="C97" s="12">
        <v>1500</v>
      </c>
      <c r="D97" s="12">
        <v>3600</v>
      </c>
      <c r="E97" s="12">
        <v>2700</v>
      </c>
      <c r="F97" s="12">
        <v>2100</v>
      </c>
      <c r="G97" s="12">
        <v>2400</v>
      </c>
      <c r="H97" s="12">
        <v>1800</v>
      </c>
      <c r="I97" s="151">
        <v>1800</v>
      </c>
      <c r="J97" s="12">
        <v>300</v>
      </c>
      <c r="K97" s="12" t="s">
        <v>209</v>
      </c>
      <c r="L97" s="12">
        <v>900</v>
      </c>
      <c r="M97" s="12">
        <v>600</v>
      </c>
      <c r="N97" s="12">
        <v>900</v>
      </c>
    </row>
    <row r="98" spans="1:14" x14ac:dyDescent="0.3">
      <c r="A98" s="12" t="s">
        <v>193</v>
      </c>
      <c r="B98" s="12">
        <v>6.3</v>
      </c>
      <c r="C98" s="12">
        <v>1800</v>
      </c>
      <c r="D98" s="12">
        <v>3600</v>
      </c>
      <c r="E98" s="12">
        <v>3300</v>
      </c>
      <c r="F98" s="12">
        <v>2400</v>
      </c>
      <c r="G98" s="12">
        <v>2700</v>
      </c>
      <c r="H98" s="12">
        <v>2100</v>
      </c>
      <c r="I98" s="151">
        <v>1800</v>
      </c>
      <c r="J98" s="12">
        <v>300</v>
      </c>
      <c r="K98" s="12" t="s">
        <v>209</v>
      </c>
      <c r="L98" s="12">
        <v>900</v>
      </c>
      <c r="M98" s="12">
        <v>600</v>
      </c>
      <c r="N98" s="12">
        <v>900</v>
      </c>
    </row>
    <row r="99" spans="1:14" x14ac:dyDescent="0.3">
      <c r="A99" s="12" t="s">
        <v>64</v>
      </c>
      <c r="B99" s="12">
        <v>8.1</v>
      </c>
      <c r="C99" s="12">
        <v>1800</v>
      </c>
      <c r="D99" s="12">
        <v>3600</v>
      </c>
      <c r="E99" s="12">
        <v>3300</v>
      </c>
      <c r="F99" s="12">
        <v>2400</v>
      </c>
      <c r="G99" s="12">
        <v>2700</v>
      </c>
      <c r="H99" s="12">
        <v>2100</v>
      </c>
      <c r="I99" s="151">
        <v>1800</v>
      </c>
      <c r="J99" s="12">
        <v>300</v>
      </c>
      <c r="K99" s="12" t="s">
        <v>209</v>
      </c>
      <c r="L99" s="12">
        <v>900</v>
      </c>
      <c r="M99" s="12">
        <v>600</v>
      </c>
      <c r="N99" s="12">
        <v>900</v>
      </c>
    </row>
    <row r="100" spans="1:14" x14ac:dyDescent="0.3">
      <c r="A100" s="12" t="s">
        <v>79</v>
      </c>
      <c r="B100" s="12">
        <v>8.6</v>
      </c>
      <c r="C100" s="12">
        <v>1800</v>
      </c>
      <c r="D100" s="12">
        <v>3600</v>
      </c>
      <c r="E100" s="12">
        <v>3300</v>
      </c>
      <c r="F100" s="12">
        <v>2400</v>
      </c>
      <c r="G100" s="12">
        <v>2700</v>
      </c>
      <c r="H100" s="12">
        <v>2100</v>
      </c>
      <c r="I100" s="151">
        <v>1800</v>
      </c>
      <c r="J100" s="12">
        <v>300</v>
      </c>
      <c r="K100" s="12" t="s">
        <v>209</v>
      </c>
      <c r="L100" s="12">
        <v>900</v>
      </c>
      <c r="M100" s="12">
        <v>600</v>
      </c>
      <c r="N100" s="12">
        <v>900</v>
      </c>
    </row>
    <row r="101" spans="1:14" x14ac:dyDescent="0.3">
      <c r="A101" s="12" t="s">
        <v>194</v>
      </c>
      <c r="B101" s="12">
        <v>9.5</v>
      </c>
      <c r="C101" s="12">
        <v>1800</v>
      </c>
      <c r="D101" s="12">
        <v>4800</v>
      </c>
      <c r="E101" s="12">
        <v>3600</v>
      </c>
      <c r="F101" s="12">
        <v>2700</v>
      </c>
      <c r="G101" s="12">
        <v>2700</v>
      </c>
      <c r="H101" s="152">
        <v>2400</v>
      </c>
      <c r="I101" s="151">
        <v>1800</v>
      </c>
      <c r="J101" s="12">
        <v>300</v>
      </c>
      <c r="K101" s="12" t="s">
        <v>209</v>
      </c>
      <c r="L101" s="12">
        <v>900</v>
      </c>
      <c r="M101" s="12">
        <v>600</v>
      </c>
      <c r="N101" s="12">
        <v>900</v>
      </c>
    </row>
  </sheetData>
  <mergeCells count="9">
    <mergeCell ref="K1:K3"/>
    <mergeCell ref="L1:N1"/>
    <mergeCell ref="A1:A3"/>
    <mergeCell ref="B1:B3"/>
    <mergeCell ref="C2:C3"/>
    <mergeCell ref="D2:F2"/>
    <mergeCell ref="G2:I2"/>
    <mergeCell ref="C1:J1"/>
    <mergeCell ref="J2:J3"/>
  </mergeCells>
  <phoneticPr fontId="1" type="noConversion"/>
  <pageMargins left="0.7" right="0.7" top="0.75" bottom="0.75" header="0.3" footer="0.3"/>
  <pageSetup paperSize="9" orientation="portrait" horizontalDpi="300" verticalDpi="0" copies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194F5-EDB1-47CA-980D-EA2AB8427EFD}">
  <sheetPr>
    <tabColor rgb="FF0070C0"/>
  </sheetPr>
  <dimension ref="A1:O21"/>
  <sheetViews>
    <sheetView workbookViewId="0">
      <selection activeCell="L15" sqref="L15"/>
    </sheetView>
  </sheetViews>
  <sheetFormatPr defaultRowHeight="14.4" x14ac:dyDescent="0.3"/>
  <cols>
    <col min="1" max="1" width="18.77734375" customWidth="1"/>
  </cols>
  <sheetData>
    <row r="1" spans="1:15" ht="18.600000000000001" thickBot="1" x14ac:dyDescent="0.4">
      <c r="A1" s="153" t="s">
        <v>255</v>
      </c>
    </row>
    <row r="2" spans="1:15" ht="39" customHeight="1" x14ac:dyDescent="0.3">
      <c r="A2" s="180" t="s">
        <v>250</v>
      </c>
      <c r="B2" s="181" t="s">
        <v>256</v>
      </c>
      <c r="C2" s="182"/>
      <c r="D2" s="182"/>
      <c r="E2" s="182"/>
      <c r="F2" s="182"/>
      <c r="G2" s="182"/>
      <c r="H2" s="183"/>
    </row>
    <row r="3" spans="1:15" ht="15.6" x14ac:dyDescent="0.3">
      <c r="A3" s="184"/>
      <c r="B3" s="185">
        <v>1.2</v>
      </c>
      <c r="C3" s="186">
        <v>1.5</v>
      </c>
      <c r="D3" s="186">
        <v>1.8</v>
      </c>
      <c r="E3" s="186">
        <v>2.1</v>
      </c>
      <c r="F3" s="186">
        <v>2.4</v>
      </c>
      <c r="G3" s="186">
        <v>2.7</v>
      </c>
      <c r="H3" s="187">
        <v>3</v>
      </c>
    </row>
    <row r="4" spans="1:15" ht="15.6" x14ac:dyDescent="0.3">
      <c r="A4" s="155" t="s">
        <v>251</v>
      </c>
      <c r="B4" s="157">
        <v>0.12</v>
      </c>
      <c r="C4" s="154">
        <v>0.29599999999999999</v>
      </c>
      <c r="D4" s="154">
        <v>0.51</v>
      </c>
      <c r="E4" s="154">
        <v>0.66200000000000003</v>
      </c>
      <c r="F4" s="154">
        <v>0.79</v>
      </c>
      <c r="G4" s="154">
        <v>0.9</v>
      </c>
      <c r="H4" s="158">
        <v>1</v>
      </c>
    </row>
    <row r="5" spans="1:15" ht="15.6" x14ac:dyDescent="0.3">
      <c r="A5" s="155" t="s">
        <v>257</v>
      </c>
      <c r="B5" s="157">
        <v>0.25</v>
      </c>
      <c r="C5" s="154">
        <v>0.5</v>
      </c>
      <c r="D5" s="154">
        <v>0.61</v>
      </c>
      <c r="E5" s="154">
        <v>0.68700000000000006</v>
      </c>
      <c r="F5" s="154">
        <v>0.75</v>
      </c>
      <c r="G5" s="154">
        <v>0.82399999999999995</v>
      </c>
      <c r="H5" s="158">
        <v>0.85</v>
      </c>
    </row>
    <row r="6" spans="1:15" ht="15.6" x14ac:dyDescent="0.3">
      <c r="A6" s="155" t="s">
        <v>252</v>
      </c>
      <c r="B6" s="157">
        <v>0</v>
      </c>
      <c r="C6" s="154">
        <v>0.23100000000000001</v>
      </c>
      <c r="D6" s="154">
        <v>0.39</v>
      </c>
      <c r="E6" s="154">
        <v>0.48799999999999999</v>
      </c>
      <c r="F6" s="154">
        <v>0.54</v>
      </c>
      <c r="G6" s="154">
        <v>0.625</v>
      </c>
      <c r="H6" s="158">
        <v>0.68</v>
      </c>
    </row>
    <row r="7" spans="1:15" ht="16.2" customHeight="1" x14ac:dyDescent="0.3">
      <c r="A7" s="155" t="s">
        <v>253</v>
      </c>
      <c r="B7" s="157">
        <v>0</v>
      </c>
      <c r="C7" s="154">
        <v>3.5000000000000003E-2</v>
      </c>
      <c r="D7" s="154">
        <v>0.17</v>
      </c>
      <c r="E7" s="154">
        <v>0.28699999999999998</v>
      </c>
      <c r="F7" s="154">
        <v>0.38</v>
      </c>
      <c r="G7" s="154">
        <v>0.44500000000000001</v>
      </c>
      <c r="H7" s="158">
        <v>0.5</v>
      </c>
    </row>
    <row r="8" spans="1:15" ht="15" customHeight="1" x14ac:dyDescent="0.3">
      <c r="A8" s="155" t="s">
        <v>258</v>
      </c>
      <c r="B8" s="157">
        <v>0</v>
      </c>
      <c r="C8" s="154">
        <v>1.7000000000000001E-2</v>
      </c>
      <c r="D8" s="154">
        <v>0.08</v>
      </c>
      <c r="E8" s="154">
        <v>0.14099999999999999</v>
      </c>
      <c r="F8" s="154">
        <v>0.19</v>
      </c>
      <c r="G8" s="154">
        <v>0.222</v>
      </c>
      <c r="H8" s="158">
        <v>0.25</v>
      </c>
    </row>
    <row r="9" spans="1:15" ht="16.2" thickBot="1" x14ac:dyDescent="0.35">
      <c r="A9" s="156" t="s">
        <v>254</v>
      </c>
      <c r="B9" s="159">
        <v>0</v>
      </c>
      <c r="C9" s="160">
        <v>2.5999999999999999E-2</v>
      </c>
      <c r="D9" s="160">
        <v>0.12</v>
      </c>
      <c r="E9" s="160">
        <v>0.20300000000000001</v>
      </c>
      <c r="F9" s="160">
        <v>0.27</v>
      </c>
      <c r="G9" s="160">
        <v>0.32500000000000001</v>
      </c>
      <c r="H9" s="161">
        <v>0.37</v>
      </c>
    </row>
    <row r="11" spans="1:15" ht="18" thickBot="1" x14ac:dyDescent="0.35">
      <c r="A11" s="153" t="s">
        <v>259</v>
      </c>
    </row>
    <row r="12" spans="1:15" ht="28.2" customHeight="1" x14ac:dyDescent="0.3">
      <c r="A12" s="181" t="s">
        <v>260</v>
      </c>
      <c r="B12" s="183"/>
      <c r="C12" s="188" t="s">
        <v>261</v>
      </c>
      <c r="D12" s="188"/>
      <c r="E12" s="188"/>
      <c r="F12" s="189"/>
      <c r="G12" s="190" t="s">
        <v>286</v>
      </c>
      <c r="H12" s="191"/>
      <c r="I12" s="162"/>
      <c r="J12" s="162"/>
      <c r="K12" s="162"/>
      <c r="L12" s="162"/>
      <c r="M12" s="162"/>
      <c r="N12" s="162"/>
    </row>
    <row r="13" spans="1:15" ht="65.400000000000006" customHeight="1" thickBot="1" x14ac:dyDescent="0.35">
      <c r="A13" s="192"/>
      <c r="B13" s="193"/>
      <c r="C13" s="196" t="s">
        <v>272</v>
      </c>
      <c r="D13" s="197"/>
      <c r="E13" s="198" t="s">
        <v>273</v>
      </c>
      <c r="F13" s="199"/>
      <c r="G13" s="194"/>
      <c r="H13" s="195"/>
      <c r="I13" s="162"/>
      <c r="J13" s="162"/>
      <c r="K13" s="162"/>
      <c r="L13" s="162"/>
      <c r="M13" s="162"/>
      <c r="N13" s="162"/>
    </row>
    <row r="14" spans="1:15" ht="15.6" customHeight="1" x14ac:dyDescent="0.3">
      <c r="A14" s="178" t="s">
        <v>262</v>
      </c>
      <c r="B14" s="179"/>
      <c r="C14" s="164" t="s">
        <v>281</v>
      </c>
      <c r="D14" s="163"/>
      <c r="E14" s="131" t="s">
        <v>280</v>
      </c>
      <c r="F14" s="172"/>
      <c r="G14" s="171" t="s">
        <v>271</v>
      </c>
      <c r="H14" s="172"/>
      <c r="I14" s="162"/>
      <c r="J14" s="162"/>
      <c r="K14" s="162"/>
      <c r="L14" s="162"/>
      <c r="M14" s="162"/>
      <c r="N14" s="162"/>
      <c r="O14" s="162"/>
    </row>
    <row r="15" spans="1:15" ht="15.6" customHeight="1" x14ac:dyDescent="0.3">
      <c r="A15" s="174" t="s">
        <v>263</v>
      </c>
      <c r="B15" s="175"/>
      <c r="C15" s="129" t="s">
        <v>282</v>
      </c>
      <c r="D15" s="130"/>
      <c r="E15" s="128" t="s">
        <v>279</v>
      </c>
      <c r="F15" s="166"/>
      <c r="G15" s="165" t="s">
        <v>264</v>
      </c>
      <c r="H15" s="166"/>
      <c r="I15" s="162"/>
      <c r="J15" s="162"/>
      <c r="K15" s="162"/>
      <c r="L15" s="162"/>
      <c r="M15" s="162"/>
      <c r="N15" s="162"/>
      <c r="O15" s="162"/>
    </row>
    <row r="16" spans="1:15" ht="31.2" customHeight="1" x14ac:dyDescent="0.3">
      <c r="A16" s="174" t="s">
        <v>274</v>
      </c>
      <c r="B16" s="175"/>
      <c r="C16" s="129" t="s">
        <v>283</v>
      </c>
      <c r="D16" s="130"/>
      <c r="E16" s="128" t="s">
        <v>278</v>
      </c>
      <c r="F16" s="166"/>
      <c r="G16" s="165" t="s">
        <v>265</v>
      </c>
      <c r="H16" s="166"/>
      <c r="I16" s="162"/>
      <c r="J16" s="162"/>
      <c r="K16" s="162"/>
      <c r="L16" s="162"/>
      <c r="M16" s="162"/>
      <c r="N16" s="162"/>
      <c r="O16" s="162"/>
    </row>
    <row r="17" spans="1:15" ht="31.2" customHeight="1" x14ac:dyDescent="0.3">
      <c r="A17" s="174" t="s">
        <v>266</v>
      </c>
      <c r="B17" s="175"/>
      <c r="C17" s="129" t="s">
        <v>284</v>
      </c>
      <c r="D17" s="130"/>
      <c r="E17" s="128" t="s">
        <v>277</v>
      </c>
      <c r="F17" s="166"/>
      <c r="G17" s="165" t="s">
        <v>267</v>
      </c>
      <c r="H17" s="166"/>
      <c r="I17" s="162"/>
      <c r="J17" s="162"/>
      <c r="K17" s="162"/>
      <c r="L17" s="162"/>
      <c r="M17" s="162"/>
      <c r="N17" s="162"/>
      <c r="O17" s="162"/>
    </row>
    <row r="18" spans="1:15" ht="15.6" customHeight="1" x14ac:dyDescent="0.3">
      <c r="A18" s="174" t="s">
        <v>268</v>
      </c>
      <c r="B18" s="175"/>
      <c r="C18" s="129" t="s">
        <v>284</v>
      </c>
      <c r="D18" s="130"/>
      <c r="E18" s="128" t="s">
        <v>276</v>
      </c>
      <c r="F18" s="166"/>
      <c r="G18" s="165" t="s">
        <v>269</v>
      </c>
      <c r="H18" s="166"/>
      <c r="I18" s="162"/>
      <c r="J18" s="162"/>
      <c r="K18" s="162"/>
      <c r="L18" s="162"/>
      <c r="M18" s="162"/>
      <c r="N18" s="162"/>
      <c r="O18" s="162"/>
    </row>
    <row r="19" spans="1:15" ht="15.6" customHeight="1" thickBot="1" x14ac:dyDescent="0.35">
      <c r="A19" s="176" t="s">
        <v>270</v>
      </c>
      <c r="B19" s="177"/>
      <c r="C19" s="173" t="s">
        <v>285</v>
      </c>
      <c r="D19" s="168"/>
      <c r="E19" s="169" t="s">
        <v>275</v>
      </c>
      <c r="F19" s="170"/>
      <c r="G19" s="167" t="s">
        <v>271</v>
      </c>
      <c r="H19" s="170"/>
      <c r="I19" s="162"/>
      <c r="J19" s="162"/>
      <c r="K19" s="162"/>
      <c r="L19" s="162"/>
      <c r="M19" s="162"/>
      <c r="N19" s="162"/>
      <c r="O19" s="162"/>
    </row>
    <row r="20" spans="1:15" ht="15.6" x14ac:dyDescent="0.3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</row>
    <row r="21" spans="1:15" ht="15.6" x14ac:dyDescent="0.3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</row>
  </sheetData>
  <mergeCells count="31">
    <mergeCell ref="G12:H13"/>
    <mergeCell ref="G14:H14"/>
    <mergeCell ref="G15:H15"/>
    <mergeCell ref="G16:H16"/>
    <mergeCell ref="G17:H17"/>
    <mergeCell ref="G18:H18"/>
    <mergeCell ref="C18:D18"/>
    <mergeCell ref="C19:D19"/>
    <mergeCell ref="E13:F13"/>
    <mergeCell ref="E14:F14"/>
    <mergeCell ref="E15:F15"/>
    <mergeCell ref="E16:F16"/>
    <mergeCell ref="E17:F17"/>
    <mergeCell ref="E18:F18"/>
    <mergeCell ref="E19:F19"/>
    <mergeCell ref="C12:F12"/>
    <mergeCell ref="C13:D13"/>
    <mergeCell ref="C14:D14"/>
    <mergeCell ref="C15:D15"/>
    <mergeCell ref="C16:D16"/>
    <mergeCell ref="C17:D17"/>
    <mergeCell ref="A14:B14"/>
    <mergeCell ref="A15:B15"/>
    <mergeCell ref="A16:B16"/>
    <mergeCell ref="A17:B17"/>
    <mergeCell ref="A18:B18"/>
    <mergeCell ref="A19:B19"/>
    <mergeCell ref="G19:H19"/>
    <mergeCell ref="A2:A3"/>
    <mergeCell ref="B2:H2"/>
    <mergeCell ref="A12:B13"/>
  </mergeCells>
  <pageMargins left="0.7" right="0.7" top="0.75" bottom="0.75" header="0.3" footer="0.3"/>
  <pageSetup paperSize="9" orientation="portrait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AFBD5-C12C-4B90-92A2-7A125B31EDCB}">
  <sheetPr>
    <tabColor rgb="FF92D050"/>
  </sheetPr>
  <dimension ref="A1:AE47"/>
  <sheetViews>
    <sheetView workbookViewId="0">
      <selection activeCell="H2" sqref="H2"/>
    </sheetView>
  </sheetViews>
  <sheetFormatPr defaultRowHeight="14.4" x14ac:dyDescent="0.3"/>
  <cols>
    <col min="2" max="2" width="11.6640625" customWidth="1"/>
    <col min="6" max="6" width="8.88671875" customWidth="1"/>
    <col min="8" max="8" width="6.5546875" customWidth="1"/>
    <col min="21" max="21" width="2.109375" customWidth="1"/>
    <col min="24" max="24" width="2" customWidth="1"/>
    <col min="27" max="27" width="2" customWidth="1"/>
  </cols>
  <sheetData>
    <row r="1" spans="1:31" x14ac:dyDescent="0.3">
      <c r="B1" t="s">
        <v>113</v>
      </c>
      <c r="C1" t="s">
        <v>114</v>
      </c>
      <c r="D1" t="s">
        <v>116</v>
      </c>
      <c r="E1" t="s">
        <v>115</v>
      </c>
      <c r="H1" t="s">
        <v>139</v>
      </c>
    </row>
    <row r="2" spans="1:31" x14ac:dyDescent="0.3">
      <c r="A2" s="123" t="s">
        <v>117</v>
      </c>
      <c r="B2" s="104">
        <f>G9+P9+G19+P19</f>
        <v>727.34777358648455</v>
      </c>
      <c r="C2" s="104">
        <f>J9+M9+P14+M19+J19+G14</f>
        <v>1091.1311996726538</v>
      </c>
      <c r="D2" s="18"/>
      <c r="E2" s="104">
        <f>J14+M14</f>
        <v>363.89393939393938</v>
      </c>
      <c r="F2" s="124" t="s">
        <v>118</v>
      </c>
      <c r="G2" s="125">
        <f>(B2+2*C2+4*E2)/(4*C3)</f>
        <v>181.88274710448124</v>
      </c>
      <c r="H2" s="76">
        <f>B9/(2500*6)</f>
        <v>-2.9753626757480674E-3</v>
      </c>
      <c r="I2" s="19">
        <f>G2-H2</f>
        <v>181.885722467157</v>
      </c>
    </row>
    <row r="3" spans="1:31" x14ac:dyDescent="0.3">
      <c r="A3" s="123"/>
      <c r="C3">
        <v>6</v>
      </c>
      <c r="F3" s="124"/>
      <c r="G3" s="125"/>
    </row>
    <row r="5" spans="1:31" x14ac:dyDescent="0.3">
      <c r="A5" t="s">
        <v>143</v>
      </c>
      <c r="C5">
        <v>0.01</v>
      </c>
      <c r="I5" s="105">
        <v>181.89</v>
      </c>
    </row>
    <row r="6" spans="1:31" x14ac:dyDescent="0.3">
      <c r="A6" t="s">
        <v>141</v>
      </c>
      <c r="C6">
        <v>0.55000000000000004</v>
      </c>
      <c r="D6" s="78">
        <f>(C6^2*F8^3)/3</f>
        <v>-2.7204063061671835E-3</v>
      </c>
      <c r="H6" s="78">
        <f>-0.25*50*C6*(F8^2+I8^2)</f>
        <v>-1.0784282885437431</v>
      </c>
      <c r="K6" s="78">
        <f>-0.25*50*C6*(I8^2+L8^2)</f>
        <v>-0.63599555555556042</v>
      </c>
      <c r="N6" s="78">
        <f>-0.25*50*C6*(L8^2+O8^2)</f>
        <v>-0.20133697613026874</v>
      </c>
      <c r="R6" s="78">
        <f>(C6^2*O8^3)/3</f>
        <v>-2.2559384373033695E-5</v>
      </c>
    </row>
    <row r="7" spans="1:31" x14ac:dyDescent="0.3">
      <c r="A7" s="37" t="s">
        <v>126</v>
      </c>
      <c r="B7" s="67">
        <f>SUMIF(P25:P34,"&lt;0")</f>
        <v>-942.36054983226018</v>
      </c>
      <c r="F7" s="77">
        <f>C6*F8</f>
        <v>-0.16495769230769355</v>
      </c>
      <c r="G7" s="76"/>
      <c r="I7" s="77">
        <f>I8*C6</f>
        <v>-0.1422666666666686</v>
      </c>
      <c r="J7" s="76"/>
      <c r="L7" s="77">
        <f>L8*C6</f>
        <v>-8.7999999999998135E-2</v>
      </c>
      <c r="M7" s="76"/>
      <c r="O7" s="77">
        <f>O8*C6</f>
        <v>-3.3389024390241676E-2</v>
      </c>
    </row>
    <row r="8" spans="1:31" ht="15" thickBot="1" x14ac:dyDescent="0.35">
      <c r="A8" s="36" t="s">
        <v>125</v>
      </c>
      <c r="B8" s="68">
        <f>SUMIF(P25:P34,"&gt;0")</f>
        <v>897.73010969603911</v>
      </c>
      <c r="E8" s="77">
        <f>C6*F8</f>
        <v>-0.16495769230769355</v>
      </c>
      <c r="F8" s="22">
        <f>G8-G9</f>
        <v>-0.29992307692307918</v>
      </c>
      <c r="G8" s="31">
        <f>$I$5+88.7*$C$5</f>
        <v>182.77699999999999</v>
      </c>
      <c r="I8" s="22">
        <f>J8-J9</f>
        <v>-0.25866666666667015</v>
      </c>
      <c r="J8" s="43">
        <f>$I$5+51.8*$C$5</f>
        <v>182.40799999999999</v>
      </c>
      <c r="K8" s="44"/>
      <c r="L8" s="45">
        <f>M8-M9</f>
        <v>-0.15999999999999659</v>
      </c>
      <c r="M8" s="43">
        <f>$I$5+15*$C$5</f>
        <v>182.04</v>
      </c>
      <c r="N8" s="44"/>
      <c r="O8" s="46">
        <f>P8-P9</f>
        <v>-6.0707317073166678E-2</v>
      </c>
      <c r="P8" s="47">
        <f>$I$5-21.9*$C$5</f>
        <v>181.67099999999999</v>
      </c>
      <c r="Q8" s="77">
        <f>O8*C6</f>
        <v>-3.3389024390241676E-2</v>
      </c>
    </row>
    <row r="9" spans="1:31" ht="15" thickBot="1" x14ac:dyDescent="0.35">
      <c r="A9" t="s">
        <v>127</v>
      </c>
      <c r="B9" s="66">
        <f>SUM(P25:P34)</f>
        <v>-44.630440136221011</v>
      </c>
      <c r="D9" s="78">
        <f>-0.25*50*C6*(F13^2+F8^2)</f>
        <v>-0.65526572339566658</v>
      </c>
      <c r="F9" s="25" t="s">
        <v>101</v>
      </c>
      <c r="G9" s="69">
        <f>183+6/78</f>
        <v>183.07692307692307</v>
      </c>
      <c r="H9" s="13"/>
      <c r="I9" s="28" t="s">
        <v>102</v>
      </c>
      <c r="J9" s="70">
        <f>182+56/84</f>
        <v>182.66666666666666</v>
      </c>
      <c r="K9" s="48"/>
      <c r="L9" s="49" t="s">
        <v>103</v>
      </c>
      <c r="M9" s="70">
        <f>182+18/90</f>
        <v>182.2</v>
      </c>
      <c r="N9" s="48"/>
      <c r="O9" s="49" t="s">
        <v>104</v>
      </c>
      <c r="P9" s="71">
        <f>181+60/82</f>
        <v>181.73170731707316</v>
      </c>
      <c r="R9" s="78">
        <f>-(17.9*C6*O8^2)/6</f>
        <v>-6.0470916364259225E-3</v>
      </c>
    </row>
    <row r="10" spans="1:31" ht="15" thickBot="1" x14ac:dyDescent="0.35">
      <c r="E10" s="76"/>
      <c r="G10" s="14"/>
      <c r="H10" s="29"/>
      <c r="I10" s="16"/>
      <c r="J10" s="50"/>
      <c r="K10" s="51"/>
      <c r="L10" s="52"/>
      <c r="M10" s="50"/>
      <c r="N10" s="51"/>
      <c r="O10" s="52"/>
      <c r="P10" s="53"/>
      <c r="Q10" s="76"/>
      <c r="T10" s="82">
        <f>P25+D9+D6+H6</f>
        <v>-456.39362204801057</v>
      </c>
      <c r="U10" s="81" t="s">
        <v>160</v>
      </c>
      <c r="V10" s="80"/>
      <c r="W10" s="82">
        <f>P26+K6</f>
        <v>-337.88978343433513</v>
      </c>
      <c r="X10" s="81" t="s">
        <v>160</v>
      </c>
      <c r="Y10" s="80"/>
      <c r="Z10" s="82">
        <f>P27+N6+R6+R9</f>
        <v>-97.615504188121378</v>
      </c>
      <c r="AA10" s="81" t="s">
        <v>160</v>
      </c>
      <c r="AB10" s="83">
        <f>P31+R12</f>
        <v>13.794925480791763</v>
      </c>
      <c r="AD10" s="76">
        <f>T10+V10+W10+Y10+Z10+AB10</f>
        <v>-878.1039841896752</v>
      </c>
      <c r="AE10" s="76">
        <f>AE11+AD10</f>
        <v>-41.468744951413328</v>
      </c>
    </row>
    <row r="11" spans="1:31" ht="15" thickBot="1" x14ac:dyDescent="0.35">
      <c r="E11" s="76"/>
      <c r="G11" s="14"/>
      <c r="H11" s="32">
        <v>1</v>
      </c>
      <c r="I11" s="33"/>
      <c r="J11" s="54"/>
      <c r="K11" s="55" t="s">
        <v>144</v>
      </c>
      <c r="L11" s="56"/>
      <c r="M11" s="54"/>
      <c r="N11" s="55" t="s">
        <v>145</v>
      </c>
      <c r="O11" s="52"/>
      <c r="P11" s="53"/>
      <c r="Q11" s="76"/>
      <c r="T11" s="82">
        <f>P28+D14</f>
        <v>-39.270187984431203</v>
      </c>
      <c r="U11" s="81" t="s">
        <v>160</v>
      </c>
      <c r="V11" s="83">
        <f>P32+H21+D21+D17</f>
        <v>136.34235950869282</v>
      </c>
      <c r="W11" s="84">
        <f>P29</f>
        <v>-13.545212121210625</v>
      </c>
      <c r="X11" s="81" t="s">
        <v>160</v>
      </c>
      <c r="Y11" s="83">
        <f>P33+K21</f>
        <v>308.63425639628383</v>
      </c>
      <c r="Z11" s="84">
        <f>P30</f>
        <v>-0.23587878787873251</v>
      </c>
      <c r="AA11" s="81" t="s">
        <v>160</v>
      </c>
      <c r="AB11" s="83">
        <f>P34+R17+R21+N21</f>
        <v>444.70990222680575</v>
      </c>
      <c r="AD11" s="76">
        <f>T11+V11+W11+Y11+Z11+AB11</f>
        <v>836.63523923826187</v>
      </c>
      <c r="AE11" s="76">
        <f>AD11</f>
        <v>836.63523923826187</v>
      </c>
    </row>
    <row r="12" spans="1:31" x14ac:dyDescent="0.3">
      <c r="E12" s="76"/>
      <c r="G12" s="14"/>
      <c r="H12" s="30"/>
      <c r="I12" s="16"/>
      <c r="J12" s="50"/>
      <c r="K12" s="57"/>
      <c r="L12" s="52"/>
      <c r="M12" s="50"/>
      <c r="N12" s="57"/>
      <c r="O12" s="52"/>
      <c r="P12" s="44"/>
      <c r="R12" s="78">
        <f>((50-17.9)*C6*O13^2)/6</f>
        <v>1.8587452624969216E-2</v>
      </c>
    </row>
    <row r="13" spans="1:31" ht="15" thickBot="1" x14ac:dyDescent="0.35">
      <c r="E13" s="77">
        <f>C6*F13</f>
        <v>-4.0257317073168514E-2</v>
      </c>
      <c r="F13" s="22">
        <f>G13-G14</f>
        <v>-7.3195121951215469E-2</v>
      </c>
      <c r="G13" s="20">
        <f>$I$5+54.9*$C$5</f>
        <v>182.43899999999999</v>
      </c>
      <c r="H13" s="17"/>
      <c r="I13" s="22">
        <f>J13-J14</f>
        <v>-9.5666666666659239E-2</v>
      </c>
      <c r="J13" s="58">
        <f>$I$5+18.1*$C$5</f>
        <v>182.071</v>
      </c>
      <c r="K13" s="59"/>
      <c r="L13" s="45">
        <f>M13-M14</f>
        <v>-2.527272727272134E-2</v>
      </c>
      <c r="M13" s="58">
        <f>$I$5-18.8*$C$5</f>
        <v>181.702</v>
      </c>
      <c r="N13" s="59"/>
      <c r="O13" s="60">
        <f>P13-P14</f>
        <v>7.947887323942382E-2</v>
      </c>
      <c r="P13" s="61">
        <f>$I$5-55.7*$C$5</f>
        <v>181.333</v>
      </c>
      <c r="Q13" s="77">
        <f>O13*C6</f>
        <v>4.3713380281683104E-2</v>
      </c>
      <c r="T13" s="76">
        <f>T10+T11+V10+V11</f>
        <v>-359.32145052374898</v>
      </c>
      <c r="W13" s="76">
        <f>W10+W11+Y10+Y11</f>
        <v>-42.800739159261923</v>
      </c>
      <c r="Z13" s="76">
        <f>Z10+Z11+AB10+AB11</f>
        <v>360.6534447315974</v>
      </c>
    </row>
    <row r="14" spans="1:31" x14ac:dyDescent="0.3">
      <c r="D14" s="78">
        <f>-(20*C6*F13^2)/6</f>
        <v>-9.8221307753310581E-3</v>
      </c>
      <c r="F14" s="25" t="s">
        <v>105</v>
      </c>
      <c r="G14" s="69">
        <f>182+42/82</f>
        <v>182.51219512195121</v>
      </c>
      <c r="H14" s="13"/>
      <c r="I14" s="28" t="s">
        <v>106</v>
      </c>
      <c r="J14" s="70">
        <f>182+13/78</f>
        <v>182.16666666666666</v>
      </c>
      <c r="K14" s="48"/>
      <c r="L14" s="49" t="s">
        <v>107</v>
      </c>
      <c r="M14" s="70">
        <f>181+48/66</f>
        <v>181.72727272727272</v>
      </c>
      <c r="N14" s="48"/>
      <c r="O14" s="49" t="s">
        <v>108</v>
      </c>
      <c r="P14" s="71">
        <f>181+18/71</f>
        <v>181.25352112676057</v>
      </c>
      <c r="Q14" s="76"/>
      <c r="T14" s="76">
        <f>T13</f>
        <v>-359.32145052374898</v>
      </c>
      <c r="W14" s="76">
        <f>T14+W13</f>
        <v>-402.1221896830109</v>
      </c>
      <c r="Z14" s="76">
        <f>W14+Z13</f>
        <v>-41.468744951413498</v>
      </c>
    </row>
    <row r="15" spans="1:31" x14ac:dyDescent="0.3">
      <c r="E15" s="76"/>
      <c r="F15" s="15"/>
      <c r="G15" s="14"/>
      <c r="H15" s="29"/>
      <c r="I15" s="16"/>
      <c r="J15" s="50"/>
      <c r="K15" s="51"/>
      <c r="L15" s="52"/>
      <c r="M15" s="50"/>
      <c r="N15" s="51"/>
      <c r="O15" s="52"/>
      <c r="P15" s="53"/>
      <c r="Q15" s="76"/>
    </row>
    <row r="16" spans="1:31" x14ac:dyDescent="0.3">
      <c r="E16" s="76"/>
      <c r="F16" s="15"/>
      <c r="G16" s="14"/>
      <c r="H16" s="34" t="s">
        <v>146</v>
      </c>
      <c r="I16" s="35"/>
      <c r="J16" s="62"/>
      <c r="K16" s="55" t="s">
        <v>147</v>
      </c>
      <c r="L16" s="63"/>
      <c r="M16" s="62"/>
      <c r="N16" s="55" t="s">
        <v>148</v>
      </c>
      <c r="O16" s="52"/>
      <c r="P16" s="53"/>
      <c r="Q16" s="76"/>
    </row>
    <row r="17" spans="1:28" x14ac:dyDescent="0.3">
      <c r="D17" s="78">
        <f>(30*C6*F18^2)/6</f>
        <v>1.9261109105326892E-2</v>
      </c>
      <c r="G17" s="14"/>
      <c r="H17" s="30"/>
      <c r="I17" s="16"/>
      <c r="J17" s="50"/>
      <c r="K17" s="57"/>
      <c r="L17" s="52"/>
      <c r="M17" s="50"/>
      <c r="N17" s="64"/>
      <c r="O17" s="52"/>
      <c r="P17" s="44"/>
      <c r="R17" s="78">
        <f>0.25*50*C6*(O18^2+O13^2)</f>
        <v>1.595689235267135</v>
      </c>
      <c r="T17" t="s">
        <v>161</v>
      </c>
      <c r="U17" t="s">
        <v>118</v>
      </c>
      <c r="V17">
        <f>50*(ABS(T14)+ABS(W14)+ABS(Z14))</f>
        <v>40145.619257908678</v>
      </c>
      <c r="Z17" t="s">
        <v>162</v>
      </c>
      <c r="AA17" t="s">
        <v>118</v>
      </c>
      <c r="AB17">
        <f>50*(ABS(AE11)+ABS(AE10))</f>
        <v>43905.199209483762</v>
      </c>
    </row>
    <row r="18" spans="1:28" ht="15" thickBot="1" x14ac:dyDescent="0.35">
      <c r="E18" s="77">
        <f>F18*C6</f>
        <v>4.6029577464777566E-2</v>
      </c>
      <c r="F18" s="23">
        <f>G18-G19</f>
        <v>8.3690140845050109E-2</v>
      </c>
      <c r="G18" s="20">
        <f>$I$5+21.2*$C$5</f>
        <v>182.10199999999998</v>
      </c>
      <c r="H18" s="17"/>
      <c r="I18" s="24">
        <f>J18-J19</f>
        <v>0.26230188679244293</v>
      </c>
      <c r="J18" s="58">
        <f>$I$5-15.6*$C$5</f>
        <v>181.73399999999998</v>
      </c>
      <c r="K18" s="59"/>
      <c r="L18" s="60">
        <f>M18-M19</f>
        <v>0.33688135593217794</v>
      </c>
      <c r="M18" s="58">
        <f>$I$5-52.6*$C$5</f>
        <v>181.36399999999998</v>
      </c>
      <c r="N18" s="59"/>
      <c r="O18" s="60">
        <f>P18-P19</f>
        <v>0.47516666666663809</v>
      </c>
      <c r="P18" s="61">
        <f>$I$5-89.4*$C$5</f>
        <v>180.99599999999998</v>
      </c>
      <c r="Q18" s="77">
        <f>O18*C6</f>
        <v>0.26134166666665098</v>
      </c>
      <c r="T18" t="s">
        <v>133</v>
      </c>
      <c r="U18" t="s">
        <v>118</v>
      </c>
      <c r="V18" s="40">
        <f>V17/MAX(H42:I42)</f>
        <v>42.484376154172494</v>
      </c>
      <c r="Z18" t="s">
        <v>135</v>
      </c>
      <c r="AA18" t="s">
        <v>118</v>
      </c>
      <c r="AB18" s="40">
        <f>AB17/MAX(H42:I42)</f>
        <v>46.462977351436024</v>
      </c>
    </row>
    <row r="19" spans="1:28" x14ac:dyDescent="0.3">
      <c r="E19" s="76"/>
      <c r="F19" s="26" t="s">
        <v>109</v>
      </c>
      <c r="G19" s="72">
        <f>182+1.3/71</f>
        <v>182.01830985915493</v>
      </c>
      <c r="I19" s="27" t="s">
        <v>110</v>
      </c>
      <c r="J19" s="72">
        <f>181+25/53</f>
        <v>181.47169811320754</v>
      </c>
      <c r="L19" s="27" t="s">
        <v>111</v>
      </c>
      <c r="M19" s="72">
        <f>181+1.6/59</f>
        <v>181.0271186440678</v>
      </c>
      <c r="O19" s="42" t="s">
        <v>112</v>
      </c>
      <c r="P19" s="73">
        <f>180+25/48</f>
        <v>180.52083333333334</v>
      </c>
      <c r="Q19" s="76"/>
    </row>
    <row r="20" spans="1:28" x14ac:dyDescent="0.3">
      <c r="F20" s="77">
        <f>F18*C6</f>
        <v>4.6029577464777566E-2</v>
      </c>
      <c r="G20" s="76"/>
      <c r="I20" s="77">
        <f>I18*C6</f>
        <v>0.14426603773584362</v>
      </c>
      <c r="J20" s="76"/>
      <c r="L20" s="77">
        <f>L18*C6</f>
        <v>0.18528474576269788</v>
      </c>
      <c r="M20" s="76"/>
      <c r="O20" s="77">
        <f>O18*C6</f>
        <v>0.26134166666665098</v>
      </c>
    </row>
    <row r="21" spans="1:28" x14ac:dyDescent="0.3">
      <c r="D21" s="78">
        <f>(C6^2*F18^3)/3</f>
        <v>5.9105380908078439E-5</v>
      </c>
      <c r="H21" s="78">
        <f>0.25*50*C6*(F18^2+I18^2)</f>
        <v>0.52116844649058669</v>
      </c>
      <c r="K21" s="78">
        <f>0.25*50*C6*(I18^2+L18^2)</f>
        <v>1.253252878553351</v>
      </c>
      <c r="N21" s="78">
        <f>0.25*50*C6*(L18^2+O18^2)</f>
        <v>2.3324978124647839</v>
      </c>
      <c r="R21" s="78">
        <f>(C6^2*O18^3)/3</f>
        <v>1.0817876648034316E-2</v>
      </c>
    </row>
    <row r="24" spans="1:28" x14ac:dyDescent="0.3">
      <c r="A24" s="21" t="s">
        <v>119</v>
      </c>
      <c r="B24" s="21" t="s">
        <v>120</v>
      </c>
      <c r="C24" t="s">
        <v>128</v>
      </c>
      <c r="D24" t="s">
        <v>129</v>
      </c>
      <c r="E24" t="s">
        <v>130</v>
      </c>
      <c r="F24" t="s">
        <v>131</v>
      </c>
      <c r="G24" t="s">
        <v>132</v>
      </c>
      <c r="H24" s="38" t="s">
        <v>122</v>
      </c>
      <c r="I24" t="s">
        <v>133</v>
      </c>
      <c r="J24" t="s">
        <v>134</v>
      </c>
      <c r="K24" t="s">
        <v>135</v>
      </c>
      <c r="L24" t="s">
        <v>136</v>
      </c>
      <c r="M24" t="s">
        <v>137</v>
      </c>
      <c r="N24" t="s">
        <v>138</v>
      </c>
      <c r="O24" s="38" t="s">
        <v>121</v>
      </c>
      <c r="P24" s="38" t="s">
        <v>123</v>
      </c>
    </row>
    <row r="25" spans="1:28" x14ac:dyDescent="0.3">
      <c r="A25" s="21">
        <v>1</v>
      </c>
      <c r="B25" t="s">
        <v>124</v>
      </c>
      <c r="C25" s="40">
        <f>F8</f>
        <v>-0.29992307692307918</v>
      </c>
      <c r="D25" s="40">
        <f>I8</f>
        <v>-0.25866666666667015</v>
      </c>
      <c r="E25" s="40">
        <f>F13</f>
        <v>-7.3195121951215469E-2</v>
      </c>
      <c r="F25" s="40">
        <f>I13</f>
        <v>-9.5666666666659239E-2</v>
      </c>
      <c r="G25" s="40"/>
      <c r="H25" s="41">
        <f>AVERAGE(C25:G25)</f>
        <v>-0.18186288305190601</v>
      </c>
      <c r="O25" s="39">
        <v>2500</v>
      </c>
      <c r="P25" s="65">
        <f>H25*O25</f>
        <v>-454.65720762976503</v>
      </c>
    </row>
    <row r="26" spans="1:28" x14ac:dyDescent="0.3">
      <c r="A26" s="21">
        <v>2</v>
      </c>
      <c r="B26" t="s">
        <v>124</v>
      </c>
      <c r="C26" s="40">
        <f>I13</f>
        <v>-9.5666666666659239E-2</v>
      </c>
      <c r="D26" s="40">
        <f>I8</f>
        <v>-0.25866666666667015</v>
      </c>
      <c r="E26" s="40">
        <f>L8</f>
        <v>-0.15999999999999659</v>
      </c>
      <c r="F26" s="40">
        <f>L13</f>
        <v>-2.527272727272134E-2</v>
      </c>
      <c r="G26" s="40"/>
      <c r="H26" s="41">
        <f t="shared" ref="H26:H34" si="0">AVERAGE(C26:G26)</f>
        <v>-0.13490151515151183</v>
      </c>
      <c r="O26" s="39">
        <v>2500</v>
      </c>
      <c r="P26" s="65">
        <f t="shared" ref="P26:P34" si="1">H26*O26</f>
        <v>-337.25378787877958</v>
      </c>
    </row>
    <row r="27" spans="1:28" x14ac:dyDescent="0.3">
      <c r="A27" s="21">
        <v>3</v>
      </c>
      <c r="B27" t="s">
        <v>149</v>
      </c>
      <c r="C27" s="40">
        <f>L13</f>
        <v>-2.527272727272134E-2</v>
      </c>
      <c r="D27" s="40">
        <f>L8</f>
        <v>-0.15999999999999659</v>
      </c>
      <c r="E27" s="40">
        <f>O8</f>
        <v>-6.0707317073166678E-2</v>
      </c>
      <c r="F27" s="40">
        <v>0</v>
      </c>
      <c r="G27" s="40">
        <v>0</v>
      </c>
      <c r="H27" s="41">
        <f t="shared" si="0"/>
        <v>-4.9196008869176924E-2</v>
      </c>
      <c r="O27" s="39">
        <v>1980</v>
      </c>
      <c r="P27" s="65">
        <f t="shared" si="1"/>
        <v>-97.408097560970305</v>
      </c>
    </row>
    <row r="28" spans="1:28" x14ac:dyDescent="0.3">
      <c r="A28" s="21">
        <v>4</v>
      </c>
      <c r="B28" t="s">
        <v>140</v>
      </c>
      <c r="C28" s="40">
        <f>F13</f>
        <v>-7.3195121951215469E-2</v>
      </c>
      <c r="D28" s="40">
        <f>I13</f>
        <v>-9.5666666666659239E-2</v>
      </c>
      <c r="E28" s="40">
        <v>0</v>
      </c>
      <c r="F28" s="40">
        <v>0</v>
      </c>
      <c r="G28" s="40"/>
      <c r="H28" s="41">
        <f t="shared" si="0"/>
        <v>-4.2215447154468677E-2</v>
      </c>
      <c r="O28" s="39">
        <v>930</v>
      </c>
      <c r="P28" s="65">
        <f t="shared" si="1"/>
        <v>-39.26036585365587</v>
      </c>
    </row>
    <row r="29" spans="1:28" x14ac:dyDescent="0.3">
      <c r="A29" s="21">
        <v>5</v>
      </c>
      <c r="B29" t="s">
        <v>140</v>
      </c>
      <c r="C29" s="40">
        <f>I13</f>
        <v>-9.5666666666659239E-2</v>
      </c>
      <c r="D29" s="40">
        <f>L13</f>
        <v>-2.527272727272134E-2</v>
      </c>
      <c r="E29" s="40">
        <v>0</v>
      </c>
      <c r="F29" s="40">
        <v>0</v>
      </c>
      <c r="G29" s="40"/>
      <c r="H29" s="41">
        <f t="shared" si="0"/>
        <v>-3.0234848484845145E-2</v>
      </c>
      <c r="O29" s="39">
        <v>448</v>
      </c>
      <c r="P29" s="65">
        <f t="shared" si="1"/>
        <v>-13.545212121210625</v>
      </c>
    </row>
    <row r="30" spans="1:28" x14ac:dyDescent="0.3">
      <c r="A30" s="21">
        <v>6</v>
      </c>
      <c r="B30" t="s">
        <v>150</v>
      </c>
      <c r="C30" s="40">
        <f>L13</f>
        <v>-2.527272727272134E-2</v>
      </c>
      <c r="D30" s="40">
        <v>0</v>
      </c>
      <c r="E30" s="40">
        <v>0</v>
      </c>
      <c r="F30" s="40"/>
      <c r="G30" s="40"/>
      <c r="H30" s="41">
        <f t="shared" si="0"/>
        <v>-8.4242424242404468E-3</v>
      </c>
      <c r="O30" s="39">
        <v>28</v>
      </c>
      <c r="P30" s="65">
        <f t="shared" si="1"/>
        <v>-0.23587878787873251</v>
      </c>
    </row>
    <row r="31" spans="1:28" x14ac:dyDescent="0.3">
      <c r="A31" s="21">
        <v>7</v>
      </c>
      <c r="B31" t="s">
        <v>150</v>
      </c>
      <c r="C31" s="40">
        <f>O13</f>
        <v>7.947887323942382E-2</v>
      </c>
      <c r="D31" s="40">
        <v>0</v>
      </c>
      <c r="E31" s="40">
        <v>0</v>
      </c>
      <c r="F31" s="40"/>
      <c r="G31" s="40"/>
      <c r="H31" s="41">
        <f t="shared" si="0"/>
        <v>2.6492957746474605E-2</v>
      </c>
      <c r="O31" s="39">
        <f>2500-O27</f>
        <v>520</v>
      </c>
      <c r="P31" s="65">
        <f t="shared" si="1"/>
        <v>13.776338028166794</v>
      </c>
    </row>
    <row r="32" spans="1:28" x14ac:dyDescent="0.3">
      <c r="A32" s="21">
        <v>8</v>
      </c>
      <c r="B32" t="s">
        <v>140</v>
      </c>
      <c r="C32" s="40">
        <f>F18</f>
        <v>8.3690140845050109E-2</v>
      </c>
      <c r="D32" s="40">
        <f>I18</f>
        <v>0.26230188679244293</v>
      </c>
      <c r="E32" s="40">
        <v>0</v>
      </c>
      <c r="F32" s="40">
        <v>0</v>
      </c>
      <c r="G32" s="40"/>
      <c r="H32" s="41">
        <f t="shared" si="0"/>
        <v>8.649800690937326E-2</v>
      </c>
      <c r="O32" s="39">
        <f t="shared" ref="O32:O34" si="2">2500-O28</f>
        <v>1570</v>
      </c>
      <c r="P32" s="65">
        <f t="shared" si="1"/>
        <v>135.80187084771603</v>
      </c>
    </row>
    <row r="33" spans="1:16" x14ac:dyDescent="0.3">
      <c r="A33" s="21">
        <v>9</v>
      </c>
      <c r="B33" t="s">
        <v>140</v>
      </c>
      <c r="C33" s="40">
        <f>I18</f>
        <v>0.26230188679244293</v>
      </c>
      <c r="D33" s="40">
        <f>L18</f>
        <v>0.33688135593217794</v>
      </c>
      <c r="E33" s="40">
        <v>0</v>
      </c>
      <c r="F33" s="40">
        <v>0</v>
      </c>
      <c r="G33" s="40"/>
      <c r="H33" s="41">
        <f t="shared" si="0"/>
        <v>0.14979581068115522</v>
      </c>
      <c r="O33" s="39">
        <f t="shared" si="2"/>
        <v>2052</v>
      </c>
      <c r="P33" s="65">
        <f t="shared" si="1"/>
        <v>307.38100351773051</v>
      </c>
    </row>
    <row r="34" spans="1:16" x14ac:dyDescent="0.3">
      <c r="A34" s="21">
        <v>10</v>
      </c>
      <c r="B34" t="s">
        <v>149</v>
      </c>
      <c r="C34" s="40">
        <f>L18</f>
        <v>0.33688135593217794</v>
      </c>
      <c r="D34" s="40">
        <f>O18</f>
        <v>0.47516666666663809</v>
      </c>
      <c r="E34" s="40">
        <f>O13</f>
        <v>7.947887323942382E-2</v>
      </c>
      <c r="F34" s="40">
        <v>0</v>
      </c>
      <c r="G34" s="40">
        <v>0</v>
      </c>
      <c r="H34" s="41">
        <f t="shared" si="0"/>
        <v>0.17830537916764796</v>
      </c>
      <c r="O34" s="39">
        <f t="shared" si="2"/>
        <v>2472</v>
      </c>
      <c r="P34" s="65">
        <f t="shared" si="1"/>
        <v>440.77089730242579</v>
      </c>
    </row>
    <row r="35" spans="1:16" x14ac:dyDescent="0.3">
      <c r="N35" s="75" t="s">
        <v>151</v>
      </c>
      <c r="O35" s="74">
        <f>SUM(O25:O34)</f>
        <v>15000</v>
      </c>
      <c r="P35" s="66"/>
    </row>
    <row r="37" spans="1:16" ht="15" thickBot="1" x14ac:dyDescent="0.35"/>
    <row r="38" spans="1:16" ht="16.2" customHeight="1" x14ac:dyDescent="0.3">
      <c r="C38" s="85" t="s">
        <v>152</v>
      </c>
      <c r="D38" s="117" t="s">
        <v>153</v>
      </c>
      <c r="E38" s="118"/>
      <c r="F38" s="118"/>
      <c r="G38" s="119"/>
      <c r="H38" s="115" t="s">
        <v>154</v>
      </c>
      <c r="I38" s="116"/>
    </row>
    <row r="39" spans="1:16" ht="31.8" thickBot="1" x14ac:dyDescent="0.35">
      <c r="C39" s="86"/>
      <c r="D39" s="87"/>
      <c r="E39" s="17"/>
      <c r="F39" s="17"/>
      <c r="G39" s="79"/>
      <c r="H39" s="89" t="s">
        <v>126</v>
      </c>
      <c r="I39" s="90" t="s">
        <v>125</v>
      </c>
    </row>
    <row r="40" spans="1:16" ht="15.6" x14ac:dyDescent="0.3">
      <c r="C40" s="91">
        <v>1</v>
      </c>
      <c r="D40" s="107" t="s">
        <v>155</v>
      </c>
      <c r="E40" s="107"/>
      <c r="F40" s="107"/>
      <c r="G40" s="107"/>
      <c r="H40" s="92">
        <f>ABS(B7)</f>
        <v>942.36054983226018</v>
      </c>
      <c r="I40" s="93">
        <f>B8</f>
        <v>897.73010969603911</v>
      </c>
    </row>
    <row r="41" spans="1:16" ht="16.2" thickBot="1" x14ac:dyDescent="0.35">
      <c r="C41" s="99">
        <v>2</v>
      </c>
      <c r="D41" s="108" t="s">
        <v>156</v>
      </c>
      <c r="E41" s="108"/>
      <c r="F41" s="108"/>
      <c r="G41" s="108"/>
      <c r="H41" s="100">
        <f>ABS(SUMIF(D21:R21,"&lt;0")+SUMIF(D9:D19,"&lt;0")+SUMIF(R8:R19,"&lt;0")+SUMIF(D6:R6,"&lt;0"))</f>
        <v>2.5896387317275362</v>
      </c>
      <c r="I41" s="101">
        <f>ABS(SUMIF(D21:R21,"&gt;0")+SUMIF(D9:D19,"&gt;0")+SUMIF(R8:R19,"&gt;0")+SUMIF(D6:R6,"&gt;0"))</f>
        <v>5.7513339165350956</v>
      </c>
    </row>
    <row r="42" spans="1:16" ht="15.6" x14ac:dyDescent="0.3">
      <c r="C42" s="91"/>
      <c r="D42" s="120" t="s">
        <v>157</v>
      </c>
      <c r="E42" s="121"/>
      <c r="F42" s="121"/>
      <c r="G42" s="122"/>
      <c r="H42" s="102">
        <f>H40+H41</f>
        <v>944.95018856398769</v>
      </c>
      <c r="I42" s="103">
        <f>I40+I41</f>
        <v>903.48144361257425</v>
      </c>
    </row>
    <row r="43" spans="1:16" ht="15.6" x14ac:dyDescent="0.3">
      <c r="C43" s="94"/>
      <c r="D43" s="109" t="s">
        <v>158</v>
      </c>
      <c r="E43" s="110"/>
      <c r="F43" s="110"/>
      <c r="G43" s="111"/>
      <c r="H43" s="88">
        <f>H42-I42</f>
        <v>41.468744951413441</v>
      </c>
      <c r="I43" s="95"/>
    </row>
    <row r="44" spans="1:16" ht="16.2" thickBot="1" x14ac:dyDescent="0.35">
      <c r="C44" s="96"/>
      <c r="D44" s="112" t="s">
        <v>159</v>
      </c>
      <c r="E44" s="113"/>
      <c r="F44" s="113"/>
      <c r="G44" s="114"/>
      <c r="H44" s="97"/>
      <c r="I44" s="98">
        <f>H43/MAX(H42:I42)</f>
        <v>4.3884582968793565E-2</v>
      </c>
    </row>
    <row r="47" spans="1:16" x14ac:dyDescent="0.3">
      <c r="B47" t="s">
        <v>163</v>
      </c>
      <c r="F47" s="106">
        <f>SQRT(V18^2+AB18^2)</f>
        <v>62.95816453462789</v>
      </c>
      <c r="G47" t="s">
        <v>164</v>
      </c>
    </row>
  </sheetData>
  <mergeCells count="10">
    <mergeCell ref="A2:A3"/>
    <mergeCell ref="F2:F3"/>
    <mergeCell ref="G2:G3"/>
    <mergeCell ref="D40:G40"/>
    <mergeCell ref="D41:G41"/>
    <mergeCell ref="D43:G43"/>
    <mergeCell ref="D44:G44"/>
    <mergeCell ref="H38:I38"/>
    <mergeCell ref="D38:G38"/>
    <mergeCell ref="D42:G42"/>
  </mergeCells>
  <conditionalFormatting sqref="I44">
    <cfRule type="cellIs" dxfId="1" priority="1" operator="greaterThan">
      <formula>0.05</formula>
    </cfRule>
    <cfRule type="cellIs" dxfId="0" priority="2" operator="lessThanOrEqual">
      <formula>0.05</formula>
    </cfRule>
  </conditionalFormatting>
  <pageMargins left="0.7" right="0.7" top="0.75" bottom="0.75" header="0.3" footer="0.3"/>
  <pageSetup paperSize="9" orientation="portrait" horizontalDpi="300" verticalDpi="0" copies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BFB1E-E165-49E3-9D4F-38F84FE5786B}">
  <sheetPr>
    <tabColor rgb="FF92D050"/>
  </sheetPr>
  <dimension ref="A1:U28"/>
  <sheetViews>
    <sheetView tabSelected="1" workbookViewId="0">
      <selection activeCell="Q12" sqref="Q12"/>
    </sheetView>
  </sheetViews>
  <sheetFormatPr defaultRowHeight="14.4" x14ac:dyDescent="0.3"/>
  <cols>
    <col min="11" max="11" width="11" customWidth="1"/>
    <col min="12" max="12" width="5.21875" customWidth="1"/>
    <col min="13" max="14" width="7.6640625" customWidth="1"/>
    <col min="15" max="15" width="7.5546875" customWidth="1"/>
    <col min="16" max="16" width="5.33203125" customWidth="1"/>
    <col min="17" max="17" width="7.77734375" customWidth="1"/>
    <col min="18" max="18" width="7.88671875" customWidth="1"/>
    <col min="21" max="21" width="10.6640625" customWidth="1"/>
  </cols>
  <sheetData>
    <row r="1" spans="1:14" x14ac:dyDescent="0.3">
      <c r="A1" s="235" t="s">
        <v>293</v>
      </c>
      <c r="B1" s="235"/>
      <c r="C1" s="235"/>
      <c r="D1" s="235"/>
      <c r="E1" s="235"/>
      <c r="I1" s="149" t="s">
        <v>231</v>
      </c>
      <c r="J1" s="150">
        <v>0.68700000000000006</v>
      </c>
    </row>
    <row r="2" spans="1:14" x14ac:dyDescent="0.3">
      <c r="A2" t="s">
        <v>215</v>
      </c>
      <c r="E2" s="2"/>
      <c r="I2" s="149" t="s">
        <v>245</v>
      </c>
      <c r="J2" s="150">
        <v>1.03</v>
      </c>
    </row>
    <row r="3" spans="1:14" x14ac:dyDescent="0.3">
      <c r="A3" t="s">
        <v>216</v>
      </c>
      <c r="E3" s="2"/>
      <c r="I3" s="149" t="s">
        <v>247</v>
      </c>
      <c r="J3" s="150">
        <v>1.1200000000000001</v>
      </c>
    </row>
    <row r="4" spans="1:14" x14ac:dyDescent="0.3">
      <c r="A4" s="148" t="s">
        <v>217</v>
      </c>
      <c r="B4" s="148"/>
      <c r="C4" s="148"/>
      <c r="D4" s="148"/>
      <c r="E4" s="150">
        <f>E2*E3</f>
        <v>0</v>
      </c>
    </row>
    <row r="5" spans="1:14" ht="16.2" x14ac:dyDescent="0.3">
      <c r="A5" t="s">
        <v>218</v>
      </c>
      <c r="E5" s="2"/>
      <c r="J5" s="149" t="s">
        <v>242</v>
      </c>
      <c r="K5" s="236">
        <f>L13+L14</f>
        <v>0</v>
      </c>
      <c r="L5" t="s">
        <v>236</v>
      </c>
    </row>
    <row r="6" spans="1:14" ht="16.2" x14ac:dyDescent="0.3">
      <c r="A6" t="s">
        <v>219</v>
      </c>
      <c r="E6" s="2"/>
      <c r="J6" s="149" t="s">
        <v>243</v>
      </c>
      <c r="K6" s="237" t="e">
        <f>J21*T21+K21*U21+J22*T22+K22*U22</f>
        <v>#DIV/0!</v>
      </c>
      <c r="L6" t="s">
        <v>236</v>
      </c>
    </row>
    <row r="7" spans="1:14" ht="16.2" x14ac:dyDescent="0.3">
      <c r="A7" t="s">
        <v>220</v>
      </c>
      <c r="E7" s="2"/>
      <c r="J7" s="149" t="s">
        <v>244</v>
      </c>
      <c r="K7" s="237" t="e">
        <f>(K5-K6)/J2</f>
        <v>#DIV/0!</v>
      </c>
      <c r="L7" t="s">
        <v>236</v>
      </c>
    </row>
    <row r="8" spans="1:14" ht="16.2" x14ac:dyDescent="0.3">
      <c r="A8" s="148" t="s">
        <v>221</v>
      </c>
      <c r="B8" s="148"/>
      <c r="C8" s="148"/>
      <c r="D8" s="148"/>
      <c r="E8" s="150">
        <f>E6*E7+1</f>
        <v>1</v>
      </c>
      <c r="J8" s="149" t="s">
        <v>246</v>
      </c>
      <c r="K8" s="237" t="e">
        <f>(K5-K7)*J3</f>
        <v>#DIV/0!</v>
      </c>
      <c r="L8" t="s">
        <v>236</v>
      </c>
    </row>
    <row r="9" spans="1:14" x14ac:dyDescent="0.3">
      <c r="A9" s="148" t="s">
        <v>222</v>
      </c>
      <c r="B9" s="148"/>
      <c r="C9" s="148"/>
      <c r="D9" s="148"/>
      <c r="E9" s="150"/>
    </row>
    <row r="11" spans="1:14" x14ac:dyDescent="0.3">
      <c r="A11" t="s">
        <v>223</v>
      </c>
      <c r="C11" s="148"/>
    </row>
    <row r="12" spans="1:14" x14ac:dyDescent="0.3">
      <c r="E12" s="21" t="s">
        <v>227</v>
      </c>
      <c r="F12" s="21" t="s">
        <v>164</v>
      </c>
    </row>
    <row r="13" spans="1:14" ht="16.2" x14ac:dyDescent="0.3">
      <c r="A13" t="s">
        <v>224</v>
      </c>
      <c r="E13" s="2"/>
      <c r="F13" s="73">
        <f>E13/1000</f>
        <v>0</v>
      </c>
      <c r="I13" t="s">
        <v>235</v>
      </c>
      <c r="L13" s="73">
        <f>(F18*(F14*F16+SQRT(F14*F16*F22*F23)+F22*F23))/3</f>
        <v>0</v>
      </c>
      <c r="M13" t="s">
        <v>236</v>
      </c>
      <c r="N13" s="40"/>
    </row>
    <row r="14" spans="1:14" ht="16.2" x14ac:dyDescent="0.3">
      <c r="A14" t="s">
        <v>225</v>
      </c>
      <c r="E14" s="2"/>
      <c r="F14" s="73">
        <f>E14/1000</f>
        <v>0</v>
      </c>
      <c r="I14" t="s">
        <v>234</v>
      </c>
      <c r="L14" s="73">
        <f>(F18*(F13*F16+SQRT(F13*F16*F21*F23)+F21*F23))/3</f>
        <v>0</v>
      </c>
      <c r="M14" t="s">
        <v>236</v>
      </c>
      <c r="N14" s="40"/>
    </row>
    <row r="16" spans="1:14" x14ac:dyDescent="0.3">
      <c r="A16" t="s">
        <v>226</v>
      </c>
      <c r="E16" s="2"/>
      <c r="F16" s="2">
        <f>E16/1000</f>
        <v>0</v>
      </c>
    </row>
    <row r="17" spans="1:21" ht="15" thickBot="1" x14ac:dyDescent="0.35"/>
    <row r="18" spans="1:21" ht="15" thickBot="1" x14ac:dyDescent="0.35">
      <c r="A18" t="s">
        <v>228</v>
      </c>
      <c r="E18" s="2"/>
      <c r="F18" s="2">
        <f>E18/1000</f>
        <v>0</v>
      </c>
      <c r="I18" s="222"/>
      <c r="J18" s="221" t="s">
        <v>123</v>
      </c>
      <c r="K18" s="219"/>
      <c r="L18" s="219"/>
      <c r="M18" s="219"/>
      <c r="N18" s="219"/>
      <c r="O18" s="219"/>
      <c r="P18" s="219"/>
      <c r="Q18" s="219"/>
      <c r="R18" s="219"/>
      <c r="S18" s="220"/>
      <c r="T18" s="203" t="s">
        <v>154</v>
      </c>
      <c r="U18" s="204"/>
    </row>
    <row r="19" spans="1:21" x14ac:dyDescent="0.3">
      <c r="I19" s="223"/>
      <c r="J19" s="225" t="s">
        <v>292</v>
      </c>
      <c r="K19" s="226"/>
      <c r="L19" s="203" t="s">
        <v>287</v>
      </c>
      <c r="M19" s="209"/>
      <c r="N19" s="209"/>
      <c r="O19" s="209"/>
      <c r="P19" s="209" t="s">
        <v>241</v>
      </c>
      <c r="Q19" s="209"/>
      <c r="R19" s="209"/>
      <c r="S19" s="212"/>
      <c r="T19" s="215" t="s">
        <v>287</v>
      </c>
      <c r="U19" s="216" t="s">
        <v>241</v>
      </c>
    </row>
    <row r="20" spans="1:21" x14ac:dyDescent="0.3">
      <c r="A20" t="s">
        <v>232</v>
      </c>
      <c r="E20" s="238"/>
      <c r="F20" s="73">
        <f>E20/1000</f>
        <v>0</v>
      </c>
      <c r="I20" s="224"/>
      <c r="J20" s="227" t="s">
        <v>287</v>
      </c>
      <c r="K20" s="228" t="s">
        <v>241</v>
      </c>
      <c r="L20" s="210" t="s">
        <v>288</v>
      </c>
      <c r="M20" s="201" t="s">
        <v>289</v>
      </c>
      <c r="N20" s="201" t="s">
        <v>290</v>
      </c>
      <c r="O20" s="201" t="s">
        <v>291</v>
      </c>
      <c r="P20" s="201" t="s">
        <v>288</v>
      </c>
      <c r="Q20" s="201" t="s">
        <v>289</v>
      </c>
      <c r="R20" s="201" t="s">
        <v>290</v>
      </c>
      <c r="S20" s="213" t="s">
        <v>291</v>
      </c>
      <c r="T20" s="217"/>
      <c r="U20" s="218"/>
    </row>
    <row r="21" spans="1:21" x14ac:dyDescent="0.3">
      <c r="A21" t="s">
        <v>229</v>
      </c>
      <c r="E21" s="238"/>
      <c r="F21" s="73">
        <f t="shared" ref="F21:F23" si="0">E21/1000</f>
        <v>0</v>
      </c>
      <c r="I21" s="233" t="s">
        <v>20</v>
      </c>
      <c r="J21" s="229">
        <f>L21+M21</f>
        <v>1.8900000000000001</v>
      </c>
      <c r="K21" s="230">
        <f>P21+Q21</f>
        <v>3.69</v>
      </c>
      <c r="L21" s="205">
        <f>0.9*0.9*1.5</f>
        <v>1.2150000000000001</v>
      </c>
      <c r="M21" s="200">
        <f>0.3*1.5*1.5</f>
        <v>0.67499999999999993</v>
      </c>
      <c r="N21" s="8" t="s">
        <v>98</v>
      </c>
      <c r="O21" s="8" t="s">
        <v>98</v>
      </c>
      <c r="P21" s="200">
        <f>1.9*0.9*1.5</f>
        <v>2.5649999999999999</v>
      </c>
      <c r="Q21" s="200">
        <f>0.3*2.5*1.5</f>
        <v>1.125</v>
      </c>
      <c r="R21" s="200"/>
      <c r="S21" s="202"/>
      <c r="T21" s="205" t="e">
        <f>((E6/E5+1)*E7-2)*2+10</f>
        <v>#DIV/0!</v>
      </c>
      <c r="U21" s="206">
        <v>2</v>
      </c>
    </row>
    <row r="22" spans="1:21" x14ac:dyDescent="0.3">
      <c r="A22" t="s">
        <v>230</v>
      </c>
      <c r="E22" s="238"/>
      <c r="F22" s="73">
        <f t="shared" si="0"/>
        <v>0</v>
      </c>
      <c r="I22" s="233" t="s">
        <v>36</v>
      </c>
      <c r="J22" s="229">
        <f>L22+M22</f>
        <v>2.0249999999999999</v>
      </c>
      <c r="K22" s="230">
        <f>P22+Q22</f>
        <v>3.8249999999999997</v>
      </c>
      <c r="L22" s="205">
        <f>0.9*0.9*1.5</f>
        <v>1.2150000000000001</v>
      </c>
      <c r="M22" s="200">
        <f>0.3*1.5*1.8</f>
        <v>0.80999999999999994</v>
      </c>
      <c r="N22" s="8" t="s">
        <v>98</v>
      </c>
      <c r="O22" s="8" t="s">
        <v>98</v>
      </c>
      <c r="P22" s="200">
        <f>1.9*0.9*1.5</f>
        <v>2.5649999999999999</v>
      </c>
      <c r="Q22" s="200">
        <f>0.3*1.5*2.8</f>
        <v>1.2599999999999998</v>
      </c>
      <c r="R22" s="200"/>
      <c r="S22" s="202"/>
      <c r="T22" s="205" t="e">
        <f>((E6/E5+1)*E7-2-2)*5</f>
        <v>#DIV/0!</v>
      </c>
      <c r="U22" s="206">
        <f>7-U21</f>
        <v>5</v>
      </c>
    </row>
    <row r="23" spans="1:21" ht="15" thickBot="1" x14ac:dyDescent="0.35">
      <c r="A23" t="s">
        <v>233</v>
      </c>
      <c r="E23" s="238"/>
      <c r="F23" s="73">
        <f t="shared" si="0"/>
        <v>0</v>
      </c>
      <c r="I23" s="234"/>
      <c r="J23" s="231"/>
      <c r="K23" s="232"/>
      <c r="L23" s="207"/>
      <c r="M23" s="211"/>
      <c r="N23" s="211"/>
      <c r="O23" s="211"/>
      <c r="P23" s="211"/>
      <c r="Q23" s="211"/>
      <c r="R23" s="211"/>
      <c r="S23" s="214"/>
      <c r="T23" s="207"/>
      <c r="U23" s="208"/>
    </row>
    <row r="25" spans="1:21" x14ac:dyDescent="0.3">
      <c r="A25" t="s">
        <v>239</v>
      </c>
      <c r="C25" t="s">
        <v>237</v>
      </c>
      <c r="E25" s="2">
        <f>F13*F16</f>
        <v>0</v>
      </c>
    </row>
    <row r="26" spans="1:21" x14ac:dyDescent="0.3">
      <c r="C26" t="s">
        <v>238</v>
      </c>
      <c r="E26" s="2">
        <f>F21*F23</f>
        <v>0</v>
      </c>
    </row>
    <row r="27" spans="1:21" x14ac:dyDescent="0.3">
      <c r="A27" t="s">
        <v>240</v>
      </c>
      <c r="C27" t="s">
        <v>237</v>
      </c>
      <c r="E27" s="2">
        <f>F14*F16</f>
        <v>0</v>
      </c>
    </row>
    <row r="28" spans="1:21" x14ac:dyDescent="0.3">
      <c r="C28" t="s">
        <v>238</v>
      </c>
      <c r="E28" s="2">
        <f>F22*F23</f>
        <v>0</v>
      </c>
    </row>
  </sheetData>
  <mergeCells count="9">
    <mergeCell ref="A1:E1"/>
    <mergeCell ref="T18:U18"/>
    <mergeCell ref="P19:S19"/>
    <mergeCell ref="L19:O19"/>
    <mergeCell ref="J18:S18"/>
    <mergeCell ref="J19:K19"/>
    <mergeCell ref="I18:I20"/>
    <mergeCell ref="T19:T20"/>
    <mergeCell ref="U19:U20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Верт.план</vt:lpstr>
      <vt:lpstr>Фундаменти</vt:lpstr>
      <vt:lpstr>Розм.фунд</vt:lpstr>
      <vt:lpstr>Довідники</vt:lpstr>
      <vt:lpstr>Лист1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 Bass</dc:creator>
  <cp:lastModifiedBy>IP Bass</cp:lastModifiedBy>
  <dcterms:created xsi:type="dcterms:W3CDTF">2022-09-13T11:19:33Z</dcterms:created>
  <dcterms:modified xsi:type="dcterms:W3CDTF">2022-10-12T14:02:02Z</dcterms:modified>
</cp:coreProperties>
</file>